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EstaPasta_de_trabalho" defaultThemeVersion="124226"/>
  <mc:AlternateContent xmlns:mc="http://schemas.openxmlformats.org/markup-compatibility/2006">
    <mc:Choice Requires="x15">
      <x15ac:absPath xmlns:x15ac="http://schemas.microsoft.com/office/spreadsheetml/2010/11/ac" url="\\terra\usuarios$\69949719291\Meus Documentos\"/>
    </mc:Choice>
  </mc:AlternateContent>
  <bookViews>
    <workbookView xWindow="0" yWindow="0" windowWidth="28800" windowHeight="12315" tabRatio="701" firstSheet="29"/>
  </bookViews>
  <sheets>
    <sheet name="RESUMO" sheetId="71" r:id="rId1"/>
    <sheet name="188 SUL-DURAN-TANCREDO-MAT" sheetId="18" r:id="rId2"/>
    <sheet name="188 SUL-DURAN-MAT" sheetId="72" r:id="rId3"/>
    <sheet name="172 SUL-VERISSIMO-TANC-MAT-VESP" sheetId="19" r:id="rId4"/>
    <sheet name="172 SUL-VERISSIMO-MAT" sheetId="73" r:id="rId5"/>
    <sheet name="164 SUL-VERISSIMO MAT-VESP" sheetId="12" r:id="rId6"/>
    <sheet name="160 SUL VERISSIMO MAT" sheetId="26" r:id="rId7"/>
    <sheet name="168 NORTE-VERÍSSIMO-MAT-VESP" sheetId="24" r:id="rId8"/>
    <sheet name="168 SUL-VERÍSSIMO-MAT-VESP" sheetId="32" r:id="rId9"/>
    <sheet name="172 NORTE-VERISSIMO-MAT-VESP" sheetId="30" r:id="rId10"/>
    <sheet name="176 NORTE MAT-VESP" sheetId="36" r:id="rId11"/>
    <sheet name="176 SUL MAT-VESP" sheetId="38" r:id="rId12"/>
    <sheet name="180 NORTE-VERIS-CTPM-MAT-VESP" sheetId="40" r:id="rId13"/>
    <sheet name="180 SUL-VERIS-TANC-APF-MAT-VESP" sheetId="53" r:id="rId14"/>
    <sheet name="180 SUL-VERIS-MAT" sheetId="74" r:id="rId15"/>
    <sheet name="188 NORTE DURAN- ALUISIO- MATU" sheetId="45" r:id="rId16"/>
    <sheet name="192 NORTE - DURAN-ROSALES-MATUT" sheetId="44" r:id="rId17"/>
    <sheet name="192 SUL - DURAN -MATU" sheetId="49" r:id="rId18"/>
    <sheet name="196 SUL - DURAN - MATUTINO" sheetId="42" r:id="rId19"/>
    <sheet name="200 NORTE - DURAN - MATUTINO" sheetId="58" r:id="rId20"/>
    <sheet name="200 SUL - DURAN - MATUTINO" sheetId="57" r:id="rId21"/>
    <sheet name="204 NORTE - DURAN" sheetId="59" r:id="rId22"/>
    <sheet name="204 SUL - DURAN - MAT" sheetId="54" r:id="rId23"/>
    <sheet name="204 SUL - DURAN -ROSALES- MAT" sheetId="75" r:id="rId24"/>
    <sheet name="208 NORTE - ROSALES -MAT-VESP" sheetId="62" r:id="rId25"/>
    <sheet name="208 SUL - ROSALES - MAT-VESP" sheetId="55" r:id="rId26"/>
    <sheet name="TRAV DO CAFÉ-VERIS-CAND MAT-VES" sheetId="56" r:id="rId27"/>
    <sheet name="TRAV DO PEIXE-VERÍSSIMO - VESP" sheetId="65" r:id="rId28"/>
    <sheet name="196 NORTE DURAN - MATUTINO" sheetId="67" r:id="rId29"/>
    <sheet name="VERI 176 S RO 010  180-164 MAT" sheetId="76" r:id="rId30"/>
    <sheet name="Monitor de Transporte Escolar" sheetId="11" r:id="rId31"/>
    <sheet name="Motorista de Veiculo Pesado" sheetId="10" r:id="rId32"/>
    <sheet name="DEPRECIAÇÃO LINEAR" sheetId="5" r:id="rId33"/>
    <sheet name="TIPO DO ÔNIBUS" sheetId="6" r:id="rId34"/>
    <sheet name="Insumos" sheetId="78" r:id="rId35"/>
  </sheets>
  <definedNames>
    <definedName name="_xlnm.Print_Area" localSheetId="6">'160 SUL VERISSIMO MAT'!$A$1:$P$91</definedName>
    <definedName name="_xlnm.Print_Area" localSheetId="5">'164 SUL-VERISSIMO MAT-VESP'!$A$1:$P$91</definedName>
    <definedName name="_xlnm.Print_Area" localSheetId="7">'168 NORTE-VERÍSSIMO-MAT-VESP'!$A$1:$P$91</definedName>
    <definedName name="_xlnm.Print_Area" localSheetId="8">'168 SUL-VERÍSSIMO-MAT-VESP'!$A$1:$P$91</definedName>
    <definedName name="_xlnm.Print_Area" localSheetId="9">'172 NORTE-VERISSIMO-MAT-VESP'!$A$1:$P$91</definedName>
    <definedName name="_xlnm.Print_Area" localSheetId="4">'172 SUL-VERISSIMO-MAT'!$A$1:$P$91</definedName>
    <definedName name="_xlnm.Print_Area" localSheetId="3">'172 SUL-VERISSIMO-TANC-MAT-VESP'!$A$1:$P$91</definedName>
    <definedName name="_xlnm.Print_Area" localSheetId="10">'176 NORTE MAT-VESP'!$A$1:$P$91</definedName>
    <definedName name="_xlnm.Print_Area" localSheetId="11">'176 SUL MAT-VESP'!$A$1:$P$91</definedName>
    <definedName name="_xlnm.Print_Area" localSheetId="12">'180 NORTE-VERIS-CTPM-MAT-VESP'!$A$1:$P$91</definedName>
    <definedName name="_xlnm.Print_Area" localSheetId="14">'180 SUL-VERIS-MAT'!$A$1:$P$91</definedName>
    <definedName name="_xlnm.Print_Area" localSheetId="13">'180 SUL-VERIS-TANC-APF-MAT-VESP'!$A$1:$P$91</definedName>
    <definedName name="_xlnm.Print_Area" localSheetId="15">'188 NORTE DURAN- ALUISIO- MATU'!$A$1:$P$91</definedName>
    <definedName name="_xlnm.Print_Area" localSheetId="2">'188 SUL-DURAN-MAT'!$A$1:$P$91</definedName>
    <definedName name="_xlnm.Print_Area" localSheetId="1">'188 SUL-DURAN-TANCREDO-MAT'!$A$1:$P$91</definedName>
    <definedName name="_xlnm.Print_Area" localSheetId="16">'192 NORTE - DURAN-ROSALES-MATUT'!$A$1:$P$91</definedName>
    <definedName name="_xlnm.Print_Area" localSheetId="17">'192 SUL - DURAN -MATU'!$A$1:$P$91</definedName>
    <definedName name="_xlnm.Print_Area" localSheetId="28">'196 NORTE DURAN - MATUTINO'!$A$1:$P$91</definedName>
    <definedName name="_xlnm.Print_Area" localSheetId="18">'196 SUL - DURAN - MATUTINO'!$A$1:$P$91</definedName>
    <definedName name="_xlnm.Print_Area" localSheetId="19">'200 NORTE - DURAN - MATUTINO'!$A$1:$P$91</definedName>
    <definedName name="_xlnm.Print_Area" localSheetId="20">'200 SUL - DURAN - MATUTINO'!$A$1:$P$91</definedName>
    <definedName name="_xlnm.Print_Area" localSheetId="21">'204 NORTE - DURAN'!$A$1:$P$91</definedName>
    <definedName name="_xlnm.Print_Area" localSheetId="22">'204 SUL - DURAN - MAT'!$A$1:$P$91</definedName>
    <definedName name="_xlnm.Print_Area" localSheetId="23">'204 SUL - DURAN -ROSALES- MAT'!$A$1:$P$91</definedName>
    <definedName name="_xlnm.Print_Area" localSheetId="24">'208 NORTE - ROSALES -MAT-VESP'!$A$1:$P$91</definedName>
    <definedName name="_xlnm.Print_Area" localSheetId="25">'208 SUL - ROSALES - MAT-VESP'!$A$1:$P$91</definedName>
    <definedName name="_xlnm.Print_Area" localSheetId="30">'Monitor de Transporte Escolar'!$A$1:$E$90</definedName>
    <definedName name="_xlnm.Print_Area" localSheetId="31">'Motorista de Veiculo Pesado'!$A$1:$E$90</definedName>
    <definedName name="_xlnm.Print_Area" localSheetId="26">'TRAV DO CAFÉ-VERIS-CAND MAT-VES'!$A$1:$P$91</definedName>
    <definedName name="_xlnm.Print_Area" localSheetId="27">'TRAV DO PEIXE-VERÍSSIMO - VESP'!$A$1:$P$91</definedName>
    <definedName name="_xlnm.Print_Area" localSheetId="29">'VERI 176 S RO 010  180-164 MAT'!$A$1:$P$91</definedName>
  </definedNames>
  <calcPr calcId="152511"/>
</workbook>
</file>

<file path=xl/calcChain.xml><?xml version="1.0" encoding="utf-8"?>
<calcChain xmlns="http://schemas.openxmlformats.org/spreadsheetml/2006/main">
  <c r="C12" i="78" l="1"/>
  <c r="B12" i="78" s="1"/>
  <c r="I78" i="76"/>
  <c r="I77" i="76"/>
  <c r="I76" i="76"/>
  <c r="I71" i="76"/>
  <c r="I70" i="76"/>
  <c r="J63" i="76"/>
  <c r="K63" i="76" s="1"/>
  <c r="I78" i="67"/>
  <c r="I77" i="67"/>
  <c r="I76" i="67"/>
  <c r="I71" i="67"/>
  <c r="I70" i="67"/>
  <c r="J63" i="67"/>
  <c r="K63" i="67" s="1"/>
  <c r="I78" i="65"/>
  <c r="I77" i="65"/>
  <c r="I76" i="65"/>
  <c r="I71" i="65"/>
  <c r="I70" i="65"/>
  <c r="J63" i="65"/>
  <c r="K63" i="65" s="1"/>
  <c r="I78" i="56"/>
  <c r="I77" i="56"/>
  <c r="I76" i="56"/>
  <c r="I71" i="56"/>
  <c r="I70" i="56"/>
  <c r="J63" i="56"/>
  <c r="K63" i="56" s="1"/>
  <c r="I78" i="55"/>
  <c r="I77" i="55"/>
  <c r="I76" i="55"/>
  <c r="I71" i="55"/>
  <c r="I70" i="55"/>
  <c r="J63" i="55"/>
  <c r="K63" i="55" s="1"/>
  <c r="I78" i="62"/>
  <c r="I77" i="62"/>
  <c r="I76" i="62"/>
  <c r="I71" i="62"/>
  <c r="I70" i="62"/>
  <c r="J63" i="62"/>
  <c r="K63" i="62" s="1"/>
  <c r="I78" i="75"/>
  <c r="I77" i="75"/>
  <c r="I76" i="75"/>
  <c r="I71" i="75"/>
  <c r="I70" i="75"/>
  <c r="J63" i="75"/>
  <c r="K63" i="75" s="1"/>
  <c r="I78" i="54"/>
  <c r="I77" i="54"/>
  <c r="I76" i="54"/>
  <c r="I71" i="54"/>
  <c r="I70" i="54"/>
  <c r="J63" i="54"/>
  <c r="K63" i="54" s="1"/>
  <c r="I78" i="59"/>
  <c r="I77" i="59"/>
  <c r="I76" i="59"/>
  <c r="I71" i="59"/>
  <c r="I70" i="59"/>
  <c r="J63" i="59"/>
  <c r="K63" i="59" s="1"/>
  <c r="I78" i="57"/>
  <c r="I77" i="57"/>
  <c r="I76" i="57"/>
  <c r="I71" i="57"/>
  <c r="I70" i="57"/>
  <c r="J63" i="57"/>
  <c r="K63" i="57" s="1"/>
  <c r="I78" i="58"/>
  <c r="I77" i="58"/>
  <c r="I76" i="58"/>
  <c r="I71" i="58"/>
  <c r="I70" i="58"/>
  <c r="J63" i="58"/>
  <c r="K63" i="58" s="1"/>
  <c r="I78" i="42"/>
  <c r="I77" i="42"/>
  <c r="I76" i="42"/>
  <c r="I71" i="42"/>
  <c r="I70" i="42"/>
  <c r="J63" i="42"/>
  <c r="K63" i="42" s="1"/>
  <c r="I78" i="49"/>
  <c r="I77" i="49"/>
  <c r="I76" i="49"/>
  <c r="I71" i="49"/>
  <c r="I70" i="49"/>
  <c r="J63" i="49"/>
  <c r="K63" i="49" s="1"/>
  <c r="I78" i="44"/>
  <c r="I77" i="44"/>
  <c r="I76" i="44"/>
  <c r="I71" i="44"/>
  <c r="I70" i="44"/>
  <c r="J63" i="44"/>
  <c r="K63" i="44" s="1"/>
  <c r="I78" i="45"/>
  <c r="I77" i="45"/>
  <c r="I76" i="45"/>
  <c r="I71" i="45"/>
  <c r="I70" i="45"/>
  <c r="J63" i="45"/>
  <c r="K63" i="45" s="1"/>
  <c r="I78" i="74"/>
  <c r="I77" i="74"/>
  <c r="I76" i="74"/>
  <c r="I71" i="74"/>
  <c r="I70" i="74"/>
  <c r="J63" i="74"/>
  <c r="K63" i="74" s="1"/>
  <c r="I78" i="53"/>
  <c r="I77" i="53"/>
  <c r="I76" i="53"/>
  <c r="I71" i="53"/>
  <c r="I70" i="53"/>
  <c r="J63" i="53"/>
  <c r="K63" i="53" s="1"/>
  <c r="I78" i="40"/>
  <c r="I77" i="40"/>
  <c r="I76" i="40"/>
  <c r="I71" i="40"/>
  <c r="I70" i="40"/>
  <c r="J63" i="40"/>
  <c r="K63" i="40" s="1"/>
  <c r="I78" i="38"/>
  <c r="I77" i="38"/>
  <c r="I76" i="38"/>
  <c r="I71" i="38"/>
  <c r="I70" i="38"/>
  <c r="J63" i="38"/>
  <c r="K63" i="38" s="1"/>
  <c r="I78" i="36"/>
  <c r="I77" i="36"/>
  <c r="I76" i="36"/>
  <c r="I71" i="36"/>
  <c r="I70" i="36"/>
  <c r="J63" i="36"/>
  <c r="K63" i="36" s="1"/>
  <c r="I78" i="30"/>
  <c r="I77" i="30"/>
  <c r="I76" i="30"/>
  <c r="I71" i="30"/>
  <c r="I70" i="30"/>
  <c r="J63" i="30"/>
  <c r="K63" i="30" s="1"/>
  <c r="I78" i="32"/>
  <c r="I77" i="32"/>
  <c r="I76" i="32"/>
  <c r="I71" i="32"/>
  <c r="I70" i="32"/>
  <c r="J63" i="32"/>
  <c r="K63" i="32" s="1"/>
  <c r="I78" i="24"/>
  <c r="I77" i="24"/>
  <c r="I76" i="24"/>
  <c r="I71" i="24"/>
  <c r="I70" i="24"/>
  <c r="J63" i="24"/>
  <c r="K63" i="24" s="1"/>
  <c r="I78" i="26"/>
  <c r="I77" i="26"/>
  <c r="I76" i="26"/>
  <c r="I71" i="26"/>
  <c r="I70" i="26"/>
  <c r="J63" i="26"/>
  <c r="K63" i="26" s="1"/>
  <c r="I78" i="12"/>
  <c r="I77" i="12"/>
  <c r="I76" i="12"/>
  <c r="I71" i="12"/>
  <c r="I70" i="12"/>
  <c r="J63" i="12"/>
  <c r="K63" i="12" s="1"/>
  <c r="I78" i="73"/>
  <c r="I77" i="73"/>
  <c r="I76" i="73"/>
  <c r="I71" i="73"/>
  <c r="I70" i="73"/>
  <c r="J63" i="73"/>
  <c r="K63" i="73" s="1"/>
  <c r="J63" i="19"/>
  <c r="K63" i="19" s="1"/>
  <c r="I78" i="19"/>
  <c r="I77" i="19"/>
  <c r="I76" i="19"/>
  <c r="I78" i="72"/>
  <c r="I77" i="72"/>
  <c r="I76" i="72"/>
  <c r="I78" i="18"/>
  <c r="I77" i="18"/>
  <c r="I76" i="18"/>
  <c r="O11" i="18"/>
  <c r="J64" i="55" l="1"/>
  <c r="K64" i="55" s="1"/>
  <c r="J64" i="42"/>
  <c r="K64" i="42" s="1"/>
  <c r="J64" i="18"/>
  <c r="K64" i="18" s="1"/>
  <c r="J64" i="72"/>
  <c r="K64" i="72" s="1"/>
  <c r="J64" i="36"/>
  <c r="K64" i="36" s="1"/>
  <c r="J64" i="57"/>
  <c r="K64" i="57" s="1"/>
  <c r="J64" i="38"/>
  <c r="K64" i="38" s="1"/>
  <c r="J64" i="49"/>
  <c r="K64" i="49" s="1"/>
  <c r="J64" i="45"/>
  <c r="K64" i="45" s="1"/>
  <c r="J64" i="75"/>
  <c r="K64" i="75" s="1"/>
  <c r="J64" i="44"/>
  <c r="K64" i="44" s="1"/>
  <c r="J64" i="73"/>
  <c r="K64" i="73" s="1"/>
  <c r="J64" i="59"/>
  <c r="K64" i="59" s="1"/>
  <c r="J64" i="30"/>
  <c r="K64" i="30" s="1"/>
  <c r="J64" i="12"/>
  <c r="K64" i="12" s="1"/>
  <c r="J64" i="76"/>
  <c r="K64" i="76" s="1"/>
  <c r="J64" i="74"/>
  <c r="K64" i="74" s="1"/>
  <c r="J64" i="19"/>
  <c r="K64" i="19" s="1"/>
  <c r="J64" i="24"/>
  <c r="K64" i="24" s="1"/>
  <c r="J64" i="40"/>
  <c r="K64" i="40" s="1"/>
  <c r="J64" i="54"/>
  <c r="K64" i="54" s="1"/>
  <c r="J64" i="65"/>
  <c r="K64" i="65" s="1"/>
  <c r="J64" i="56"/>
  <c r="K64" i="56" s="1"/>
  <c r="J64" i="58"/>
  <c r="K64" i="58" s="1"/>
  <c r="J64" i="32"/>
  <c r="K64" i="32" s="1"/>
  <c r="J64" i="62"/>
  <c r="K64" i="62" s="1"/>
  <c r="J64" i="26"/>
  <c r="K64" i="26" s="1"/>
  <c r="J64" i="53"/>
  <c r="K64" i="53" s="1"/>
  <c r="J64" i="67"/>
  <c r="K64" i="67" s="1"/>
  <c r="I71" i="19"/>
  <c r="I70" i="19"/>
  <c r="I71" i="72"/>
  <c r="I70" i="72"/>
  <c r="I71" i="18"/>
  <c r="I70" i="18"/>
  <c r="E77" i="10"/>
  <c r="E77" i="11"/>
  <c r="J62" i="76" l="1"/>
  <c r="J61" i="76"/>
  <c r="J60" i="76"/>
  <c r="J62" i="67"/>
  <c r="J61" i="67"/>
  <c r="J60" i="67"/>
  <c r="J62" i="65"/>
  <c r="J61" i="65"/>
  <c r="J60" i="65"/>
  <c r="J62" i="56"/>
  <c r="J61" i="56"/>
  <c r="J60" i="56"/>
  <c r="J62" i="55"/>
  <c r="J61" i="55"/>
  <c r="J60" i="55"/>
  <c r="J62" i="62"/>
  <c r="J61" i="62"/>
  <c r="J60" i="62"/>
  <c r="J62" i="75"/>
  <c r="J61" i="75"/>
  <c r="J60" i="75"/>
  <c r="J62" i="54"/>
  <c r="J61" i="54"/>
  <c r="J60" i="54"/>
  <c r="J62" i="59"/>
  <c r="J61" i="59"/>
  <c r="J60" i="59"/>
  <c r="J62" i="57"/>
  <c r="J61" i="57"/>
  <c r="J60" i="57"/>
  <c r="J62" i="58"/>
  <c r="J61" i="58"/>
  <c r="J60" i="58"/>
  <c r="J62" i="42"/>
  <c r="J61" i="42"/>
  <c r="J60" i="42"/>
  <c r="J62" i="49"/>
  <c r="J61" i="49"/>
  <c r="J60" i="49"/>
  <c r="J62" i="44"/>
  <c r="J61" i="44"/>
  <c r="J60" i="44"/>
  <c r="J62" i="45"/>
  <c r="J61" i="45"/>
  <c r="J60" i="45"/>
  <c r="J62" i="74"/>
  <c r="J61" i="74"/>
  <c r="J60" i="74"/>
  <c r="J62" i="53"/>
  <c r="J61" i="53"/>
  <c r="J60" i="53"/>
  <c r="J62" i="40"/>
  <c r="J61" i="40"/>
  <c r="J60" i="40"/>
  <c r="J62" i="38"/>
  <c r="J61" i="38"/>
  <c r="J60" i="38"/>
  <c r="J62" i="36"/>
  <c r="J61" i="36"/>
  <c r="J60" i="36"/>
  <c r="J62" i="30"/>
  <c r="J61" i="30"/>
  <c r="J60" i="30"/>
  <c r="J62" i="32"/>
  <c r="J61" i="32"/>
  <c r="J60" i="32"/>
  <c r="J62" i="24"/>
  <c r="J61" i="24"/>
  <c r="J60" i="24"/>
  <c r="J62" i="26"/>
  <c r="J61" i="26"/>
  <c r="J60" i="26"/>
  <c r="J62" i="12"/>
  <c r="J61" i="12"/>
  <c r="J60" i="12"/>
  <c r="J62" i="73"/>
  <c r="J61" i="73"/>
  <c r="J60" i="73"/>
  <c r="J62" i="19"/>
  <c r="J61" i="19"/>
  <c r="J60" i="19"/>
  <c r="J63" i="72"/>
  <c r="J62" i="72"/>
  <c r="J61" i="72"/>
  <c r="J60" i="72"/>
  <c r="E33" i="76"/>
  <c r="E32" i="76"/>
  <c r="E27" i="76"/>
  <c r="E25" i="76"/>
  <c r="E24" i="76"/>
  <c r="E33" i="67"/>
  <c r="E32" i="67"/>
  <c r="E27" i="67"/>
  <c r="E25" i="67"/>
  <c r="E24" i="67"/>
  <c r="E33" i="65"/>
  <c r="E32" i="65"/>
  <c r="E27" i="65"/>
  <c r="E25" i="65"/>
  <c r="E24" i="65"/>
  <c r="E33" i="56"/>
  <c r="E32" i="56"/>
  <c r="E27" i="56"/>
  <c r="E25" i="56"/>
  <c r="E24" i="56"/>
  <c r="E33" i="55"/>
  <c r="E32" i="55"/>
  <c r="E27" i="55"/>
  <c r="E25" i="55"/>
  <c r="E24" i="55"/>
  <c r="E33" i="62"/>
  <c r="E32" i="62"/>
  <c r="E27" i="62"/>
  <c r="E25" i="62"/>
  <c r="E24" i="62"/>
  <c r="E33" i="75"/>
  <c r="E32" i="75"/>
  <c r="E27" i="75"/>
  <c r="E25" i="75"/>
  <c r="E24" i="75"/>
  <c r="E33" i="54"/>
  <c r="E32" i="54"/>
  <c r="E27" i="54"/>
  <c r="E25" i="54"/>
  <c r="E24" i="54"/>
  <c r="E33" i="59"/>
  <c r="E32" i="59"/>
  <c r="E27" i="59"/>
  <c r="E25" i="59"/>
  <c r="E24" i="59"/>
  <c r="E33" i="57"/>
  <c r="E32" i="57"/>
  <c r="E27" i="57"/>
  <c r="E25" i="57"/>
  <c r="E24" i="57"/>
  <c r="E33" i="58"/>
  <c r="E32" i="58"/>
  <c r="E27" i="58"/>
  <c r="E25" i="58"/>
  <c r="E24" i="58"/>
  <c r="E33" i="42"/>
  <c r="E32" i="42"/>
  <c r="E27" i="42"/>
  <c r="E25" i="42"/>
  <c r="E24" i="42"/>
  <c r="E33" i="49"/>
  <c r="E32" i="49"/>
  <c r="E27" i="49"/>
  <c r="E25" i="49"/>
  <c r="E24" i="49"/>
  <c r="E33" i="44"/>
  <c r="E32" i="44"/>
  <c r="E27" i="44"/>
  <c r="E25" i="44"/>
  <c r="E24" i="44"/>
  <c r="E33" i="45"/>
  <c r="E32" i="45"/>
  <c r="E27" i="45"/>
  <c r="E25" i="45"/>
  <c r="E24" i="45"/>
  <c r="E33" i="74"/>
  <c r="E32" i="74"/>
  <c r="E27" i="74"/>
  <c r="E25" i="74"/>
  <c r="E24" i="74"/>
  <c r="E33" i="53"/>
  <c r="E32" i="53"/>
  <c r="E27" i="53"/>
  <c r="E25" i="53"/>
  <c r="E24" i="53"/>
  <c r="E33" i="40"/>
  <c r="E32" i="40"/>
  <c r="E27" i="40"/>
  <c r="E25" i="40"/>
  <c r="E24" i="40"/>
  <c r="E33" i="38"/>
  <c r="E32" i="38"/>
  <c r="E27" i="38"/>
  <c r="E25" i="38"/>
  <c r="E24" i="38"/>
  <c r="E33" i="36"/>
  <c r="E32" i="36"/>
  <c r="E27" i="36"/>
  <c r="E25" i="36"/>
  <c r="E24" i="36"/>
  <c r="E33" i="30"/>
  <c r="E32" i="30"/>
  <c r="E27" i="30"/>
  <c r="E25" i="30"/>
  <c r="E24" i="30"/>
  <c r="E33" i="32"/>
  <c r="E32" i="32"/>
  <c r="E27" i="32"/>
  <c r="E25" i="32"/>
  <c r="E24" i="32"/>
  <c r="E33" i="24"/>
  <c r="E32" i="24"/>
  <c r="E27" i="24"/>
  <c r="E25" i="24"/>
  <c r="E24" i="24"/>
  <c r="E33" i="26"/>
  <c r="E32" i="26"/>
  <c r="E27" i="26"/>
  <c r="E25" i="26"/>
  <c r="E24" i="26"/>
  <c r="E33" i="12"/>
  <c r="E32" i="12"/>
  <c r="E27" i="12"/>
  <c r="E25" i="12"/>
  <c r="E24" i="12"/>
  <c r="E33" i="73"/>
  <c r="E32" i="73"/>
  <c r="E27" i="73"/>
  <c r="E25" i="73"/>
  <c r="E24" i="73"/>
  <c r="E33" i="19"/>
  <c r="E32" i="19"/>
  <c r="E27" i="19"/>
  <c r="E25" i="19"/>
  <c r="E24" i="19"/>
  <c r="E33" i="72"/>
  <c r="E32" i="72"/>
  <c r="E27" i="72"/>
  <c r="E25" i="72"/>
  <c r="E24" i="72"/>
  <c r="E12" i="76"/>
  <c r="E12" i="67"/>
  <c r="E12" i="65"/>
  <c r="E12" i="56"/>
  <c r="E12" i="55"/>
  <c r="E12" i="62"/>
  <c r="E12" i="75"/>
  <c r="E12" i="54"/>
  <c r="E12" i="59"/>
  <c r="E12" i="57"/>
  <c r="E12" i="58"/>
  <c r="E12" i="42"/>
  <c r="E12" i="49"/>
  <c r="E12" i="44"/>
  <c r="E12" i="45"/>
  <c r="E12" i="74"/>
  <c r="E12" i="53"/>
  <c r="E12" i="40"/>
  <c r="E12" i="38"/>
  <c r="E12" i="36"/>
  <c r="E12" i="30"/>
  <c r="E12" i="32"/>
  <c r="E12" i="24"/>
  <c r="E12" i="26"/>
  <c r="E12" i="12"/>
  <c r="E12" i="73"/>
  <c r="E12" i="19"/>
  <c r="E12" i="72"/>
  <c r="J63" i="18"/>
  <c r="J62" i="18"/>
  <c r="J61" i="18"/>
  <c r="J60" i="18"/>
  <c r="E32" i="18"/>
  <c r="E27" i="18"/>
  <c r="E25" i="18"/>
  <c r="E12" i="18"/>
  <c r="O11" i="72" l="1"/>
  <c r="O11" i="19"/>
  <c r="O11" i="73"/>
  <c r="O11" i="12"/>
  <c r="O11" i="26"/>
  <c r="O11" i="24"/>
  <c r="O11" i="32"/>
  <c r="O11" i="30"/>
  <c r="O11" i="36"/>
  <c r="O11" i="38"/>
  <c r="O11" i="40"/>
  <c r="O11" i="53"/>
  <c r="O11" i="74"/>
  <c r="O11" i="45"/>
  <c r="O11" i="44"/>
  <c r="O11" i="49"/>
  <c r="O11" i="42"/>
  <c r="O11" i="58"/>
  <c r="O11" i="57"/>
  <c r="O11" i="59"/>
  <c r="O11" i="54"/>
  <c r="O11" i="75"/>
  <c r="O11" i="62"/>
  <c r="O11" i="76"/>
  <c r="A37" i="71" l="1"/>
  <c r="A31" i="71"/>
  <c r="A22" i="71"/>
  <c r="A12" i="71"/>
  <c r="K62" i="76" l="1"/>
  <c r="K61" i="76"/>
  <c r="K60" i="76"/>
  <c r="K59" i="76"/>
  <c r="K58" i="76"/>
  <c r="K57" i="76"/>
  <c r="J56" i="76"/>
  <c r="K56" i="76" s="1"/>
  <c r="K39" i="76"/>
  <c r="E38" i="76"/>
  <c r="K38" i="76" s="1"/>
  <c r="K40" i="76"/>
  <c r="K41" i="76" s="1"/>
  <c r="O16" i="76"/>
  <c r="E16" i="76"/>
  <c r="O14" i="76"/>
  <c r="E13" i="76"/>
  <c r="C12" i="71"/>
  <c r="C31" i="71"/>
  <c r="D22" i="71"/>
  <c r="D12" i="71"/>
  <c r="C22" i="71"/>
  <c r="C37" i="71"/>
  <c r="D37" i="71"/>
  <c r="D31" i="71"/>
  <c r="K42" i="76" l="1"/>
  <c r="K45" i="76" s="1"/>
  <c r="O18" i="76"/>
  <c r="C158" i="76"/>
  <c r="C138" i="76"/>
  <c r="C160" i="76"/>
  <c r="C157" i="76"/>
  <c r="C154" i="76"/>
  <c r="C151" i="76"/>
  <c r="C148" i="76"/>
  <c r="C137" i="76"/>
  <c r="C134" i="76"/>
  <c r="C131" i="76"/>
  <c r="C128" i="76"/>
  <c r="C129" i="76"/>
  <c r="C152" i="76"/>
  <c r="C155" i="76"/>
  <c r="K43" i="76"/>
  <c r="C149" i="76"/>
  <c r="C159" i="76"/>
  <c r="C156" i="76"/>
  <c r="C153" i="76"/>
  <c r="C150" i="76"/>
  <c r="C139" i="76"/>
  <c r="C136" i="76"/>
  <c r="C133" i="76"/>
  <c r="C130" i="76"/>
  <c r="C127" i="76"/>
  <c r="S10" i="76"/>
  <c r="C135" i="76"/>
  <c r="K62" i="75"/>
  <c r="K61" i="75"/>
  <c r="K60" i="75"/>
  <c r="K59" i="75"/>
  <c r="K58" i="75"/>
  <c r="K57" i="75"/>
  <c r="J56" i="75"/>
  <c r="K56" i="75" s="1"/>
  <c r="K39" i="75"/>
  <c r="E38" i="75"/>
  <c r="K38" i="75" s="1"/>
  <c r="K40" i="75"/>
  <c r="K41" i="75" s="1"/>
  <c r="O16" i="75"/>
  <c r="E16" i="75"/>
  <c r="O14" i="75"/>
  <c r="O18" i="75" s="1"/>
  <c r="E13" i="75"/>
  <c r="C132" i="76" l="1"/>
  <c r="K42" i="75"/>
  <c r="K45" i="75" s="1"/>
  <c r="S10" i="75" s="1"/>
  <c r="K47" i="76"/>
  <c r="R10" i="76"/>
  <c r="C152" i="75"/>
  <c r="C158" i="75"/>
  <c r="C149" i="75"/>
  <c r="C135" i="75"/>
  <c r="C160" i="75"/>
  <c r="C157" i="75"/>
  <c r="C154" i="75"/>
  <c r="C151" i="75"/>
  <c r="C133" i="75"/>
  <c r="C127" i="75"/>
  <c r="C138" i="75"/>
  <c r="K62" i="74"/>
  <c r="K61" i="74"/>
  <c r="K60" i="74"/>
  <c r="K59" i="74"/>
  <c r="K58" i="74"/>
  <c r="K57" i="74"/>
  <c r="J56" i="74"/>
  <c r="K56" i="74" s="1"/>
  <c r="K39" i="74"/>
  <c r="E38" i="74"/>
  <c r="K38" i="74" s="1"/>
  <c r="K40" i="74"/>
  <c r="K41" i="74" s="1"/>
  <c r="O16" i="74"/>
  <c r="E16" i="74"/>
  <c r="O14" i="74"/>
  <c r="E13" i="74"/>
  <c r="K62" i="73"/>
  <c r="K61" i="73"/>
  <c r="K60" i="73"/>
  <c r="K59" i="73"/>
  <c r="K58" i="73"/>
  <c r="K57" i="73"/>
  <c r="J56" i="73"/>
  <c r="K56" i="73" s="1"/>
  <c r="K39" i="73"/>
  <c r="E38" i="73"/>
  <c r="K38" i="73" s="1"/>
  <c r="K40" i="73"/>
  <c r="K41" i="73" s="1"/>
  <c r="O16" i="73"/>
  <c r="E16" i="73"/>
  <c r="O14" i="73"/>
  <c r="E13" i="73"/>
  <c r="A10" i="71"/>
  <c r="K63" i="72"/>
  <c r="K62" i="72"/>
  <c r="K61" i="72"/>
  <c r="K60" i="72"/>
  <c r="K59" i="72"/>
  <c r="K58" i="72"/>
  <c r="K57" i="72"/>
  <c r="J56" i="72"/>
  <c r="K56" i="72" s="1"/>
  <c r="K39" i="72"/>
  <c r="E38" i="72"/>
  <c r="K38" i="72" s="1"/>
  <c r="K40" i="72"/>
  <c r="K41" i="72" s="1"/>
  <c r="O16" i="72"/>
  <c r="E16" i="72"/>
  <c r="O14" i="72"/>
  <c r="O18" i="72" s="1"/>
  <c r="E13" i="72"/>
  <c r="C139" i="75" l="1"/>
  <c r="C150" i="75"/>
  <c r="C153" i="75"/>
  <c r="C156" i="75"/>
  <c r="C159" i="75"/>
  <c r="C132" i="75"/>
  <c r="C155" i="75"/>
  <c r="K43" i="75"/>
  <c r="K47" i="75" s="1"/>
  <c r="C129" i="75"/>
  <c r="C128" i="75"/>
  <c r="C130" i="75"/>
  <c r="C131" i="75"/>
  <c r="C137" i="75"/>
  <c r="C148" i="75"/>
  <c r="C136" i="75"/>
  <c r="C134" i="75"/>
  <c r="O18" i="74"/>
  <c r="K42" i="74"/>
  <c r="K45" i="74" s="1"/>
  <c r="O18" i="73"/>
  <c r="K42" i="73"/>
  <c r="K45" i="73" s="1"/>
  <c r="K42" i="72"/>
  <c r="K45" i="72" s="1"/>
  <c r="D10" i="71"/>
  <c r="C10" i="71"/>
  <c r="R10" i="75" l="1"/>
  <c r="C156" i="74"/>
  <c r="C136" i="74"/>
  <c r="S10" i="74"/>
  <c r="C152" i="74"/>
  <c r="C132" i="74"/>
  <c r="C159" i="74"/>
  <c r="C150" i="74"/>
  <c r="C133" i="74"/>
  <c r="K43" i="74"/>
  <c r="C160" i="74"/>
  <c r="C157" i="74"/>
  <c r="C154" i="74"/>
  <c r="C151" i="74"/>
  <c r="C148" i="74"/>
  <c r="C137" i="74"/>
  <c r="C134" i="74"/>
  <c r="C131" i="74"/>
  <c r="C128" i="74"/>
  <c r="C155" i="74"/>
  <c r="C138" i="74"/>
  <c r="C153" i="74"/>
  <c r="C139" i="74"/>
  <c r="C130" i="74"/>
  <c r="C149" i="74"/>
  <c r="C127" i="74"/>
  <c r="C135" i="74"/>
  <c r="C158" i="74"/>
  <c r="C129" i="74"/>
  <c r="C160" i="73"/>
  <c r="C157" i="73"/>
  <c r="C154" i="73"/>
  <c r="C151" i="73"/>
  <c r="C148" i="73"/>
  <c r="C137" i="73"/>
  <c r="C134" i="73"/>
  <c r="C131" i="73"/>
  <c r="C128" i="73"/>
  <c r="C159" i="73"/>
  <c r="C153" i="73"/>
  <c r="C139" i="73"/>
  <c r="C136" i="73"/>
  <c r="C133" i="73"/>
  <c r="C130" i="73"/>
  <c r="C127" i="73"/>
  <c r="S10" i="73"/>
  <c r="K43" i="73"/>
  <c r="C158" i="73"/>
  <c r="C149" i="73"/>
  <c r="C138" i="73"/>
  <c r="C129" i="73"/>
  <c r="C156" i="73"/>
  <c r="C152" i="73"/>
  <c r="C135" i="73"/>
  <c r="C150" i="73"/>
  <c r="C132" i="73"/>
  <c r="C155" i="73"/>
  <c r="C156" i="72"/>
  <c r="C133" i="72"/>
  <c r="C127" i="72"/>
  <c r="S10" i="72"/>
  <c r="C149" i="72"/>
  <c r="C129" i="72"/>
  <c r="K43" i="72"/>
  <c r="C155" i="72"/>
  <c r="C159" i="72"/>
  <c r="C153" i="72"/>
  <c r="C150" i="72"/>
  <c r="C136" i="72"/>
  <c r="C130" i="72"/>
  <c r="C152" i="72"/>
  <c r="C160" i="72"/>
  <c r="C157" i="72"/>
  <c r="C154" i="72"/>
  <c r="C151" i="72"/>
  <c r="C148" i="72"/>
  <c r="C137" i="72"/>
  <c r="C134" i="72"/>
  <c r="C131" i="72"/>
  <c r="C128" i="72"/>
  <c r="C139" i="72"/>
  <c r="C158" i="72"/>
  <c r="C132" i="72"/>
  <c r="C135" i="72"/>
  <c r="C138" i="72"/>
  <c r="A36" i="71"/>
  <c r="A35" i="71"/>
  <c r="A34" i="71"/>
  <c r="A33" i="71"/>
  <c r="A32" i="71"/>
  <c r="A30" i="71"/>
  <c r="A29" i="71"/>
  <c r="A28" i="71"/>
  <c r="A27" i="71"/>
  <c r="A26" i="71"/>
  <c r="A25" i="71"/>
  <c r="A24" i="71"/>
  <c r="A23" i="71"/>
  <c r="A21" i="71"/>
  <c r="A20" i="71"/>
  <c r="A19" i="71"/>
  <c r="A18" i="71"/>
  <c r="A17" i="71"/>
  <c r="A16" i="71"/>
  <c r="A15" i="71"/>
  <c r="A14" i="71"/>
  <c r="A13" i="71"/>
  <c r="A11" i="71"/>
  <c r="R10" i="74" l="1"/>
  <c r="K47" i="74"/>
  <c r="R10" i="73"/>
  <c r="K47" i="73"/>
  <c r="K47" i="72"/>
  <c r="R10" i="72"/>
  <c r="O14" i="19"/>
  <c r="O16" i="19"/>
  <c r="O18" i="19" s="1"/>
  <c r="A9" i="71"/>
  <c r="C11" i="71"/>
  <c r="D11" i="71"/>
  <c r="K62" i="18" l="1"/>
  <c r="K62" i="19"/>
  <c r="K62" i="12"/>
  <c r="K62" i="26"/>
  <c r="K62" i="24"/>
  <c r="K62" i="32"/>
  <c r="K62" i="30"/>
  <c r="K62" i="36"/>
  <c r="K62" i="38"/>
  <c r="K62" i="40"/>
  <c r="K62" i="53"/>
  <c r="K62" i="45"/>
  <c r="K62" i="44"/>
  <c r="K62" i="49"/>
  <c r="K62" i="42"/>
  <c r="K62" i="58"/>
  <c r="K62" i="57"/>
  <c r="K62" i="59"/>
  <c r="K62" i="54"/>
  <c r="K62" i="62"/>
  <c r="K62" i="55"/>
  <c r="K62" i="56"/>
  <c r="K62" i="65"/>
  <c r="K62" i="67"/>
  <c r="K61" i="67" l="1"/>
  <c r="K60" i="67"/>
  <c r="K59" i="67"/>
  <c r="K58" i="67"/>
  <c r="K57" i="67"/>
  <c r="J56" i="67"/>
  <c r="K56" i="67" s="1"/>
  <c r="K39" i="67"/>
  <c r="E38" i="67"/>
  <c r="K38" i="67" s="1"/>
  <c r="K40" i="67"/>
  <c r="K41" i="67" s="1"/>
  <c r="O16" i="67"/>
  <c r="E16" i="67"/>
  <c r="O14" i="67"/>
  <c r="E13" i="67"/>
  <c r="O11" i="67"/>
  <c r="K61" i="65"/>
  <c r="K60" i="65"/>
  <c r="K59" i="65"/>
  <c r="K58" i="65"/>
  <c r="K57" i="65"/>
  <c r="J56" i="65"/>
  <c r="K56" i="65" s="1"/>
  <c r="K39" i="65"/>
  <c r="E38" i="65"/>
  <c r="K38" i="65" s="1"/>
  <c r="K40" i="65"/>
  <c r="K41" i="65" s="1"/>
  <c r="O16" i="65"/>
  <c r="E16" i="65"/>
  <c r="O14" i="65"/>
  <c r="E13" i="65"/>
  <c r="O11" i="65"/>
  <c r="K61" i="62"/>
  <c r="K60" i="62"/>
  <c r="K59" i="62"/>
  <c r="K58" i="62"/>
  <c r="K57" i="62"/>
  <c r="J56" i="62"/>
  <c r="K56" i="62" s="1"/>
  <c r="K39" i="62"/>
  <c r="E38" i="62"/>
  <c r="K38" i="62" s="1"/>
  <c r="K40" i="62"/>
  <c r="K41" i="62" s="1"/>
  <c r="O16" i="62"/>
  <c r="E16" i="62"/>
  <c r="O14" i="62"/>
  <c r="E13" i="62"/>
  <c r="K61" i="59"/>
  <c r="K60" i="59"/>
  <c r="K59" i="59"/>
  <c r="K58" i="59"/>
  <c r="K57" i="59"/>
  <c r="J56" i="59"/>
  <c r="K56" i="59" s="1"/>
  <c r="K39" i="59"/>
  <c r="E38" i="59"/>
  <c r="K38" i="59" s="1"/>
  <c r="K40" i="59"/>
  <c r="K41" i="59" s="1"/>
  <c r="O16" i="59"/>
  <c r="E16" i="59"/>
  <c r="O14" i="59"/>
  <c r="E13" i="59"/>
  <c r="K61" i="58"/>
  <c r="K60" i="58"/>
  <c r="K59" i="58"/>
  <c r="K58" i="58"/>
  <c r="K57" i="58"/>
  <c r="J56" i="58"/>
  <c r="K56" i="58" s="1"/>
  <c r="K39" i="58"/>
  <c r="E38" i="58"/>
  <c r="K38" i="58" s="1"/>
  <c r="K40" i="58"/>
  <c r="K41" i="58" s="1"/>
  <c r="O16" i="58"/>
  <c r="E16" i="58"/>
  <c r="O14" i="58"/>
  <c r="E13" i="58"/>
  <c r="K61" i="57"/>
  <c r="K60" i="57"/>
  <c r="K59" i="57"/>
  <c r="K58" i="57"/>
  <c r="K57" i="57"/>
  <c r="J56" i="57"/>
  <c r="K56" i="57" s="1"/>
  <c r="K39" i="57"/>
  <c r="E38" i="57"/>
  <c r="K38" i="57" s="1"/>
  <c r="K40" i="57"/>
  <c r="K41" i="57" s="1"/>
  <c r="O16" i="57"/>
  <c r="E16" i="57"/>
  <c r="O14" i="57"/>
  <c r="E13" i="57"/>
  <c r="K61" i="56"/>
  <c r="K60" i="56"/>
  <c r="K59" i="56"/>
  <c r="K58" i="56"/>
  <c r="K57" i="56"/>
  <c r="J56" i="56"/>
  <c r="K56" i="56" s="1"/>
  <c r="K39" i="56"/>
  <c r="E38" i="56"/>
  <c r="K38" i="56" s="1"/>
  <c r="K40" i="56"/>
  <c r="K41" i="56" s="1"/>
  <c r="O16" i="56"/>
  <c r="E16" i="56"/>
  <c r="O14" i="56"/>
  <c r="E13" i="56"/>
  <c r="O11" i="56"/>
  <c r="K61" i="55"/>
  <c r="K60" i="55"/>
  <c r="K59" i="55"/>
  <c r="K58" i="55"/>
  <c r="K57" i="55"/>
  <c r="J56" i="55"/>
  <c r="K56" i="55" s="1"/>
  <c r="K39" i="55"/>
  <c r="E38" i="55"/>
  <c r="K38" i="55" s="1"/>
  <c r="K40" i="55"/>
  <c r="K41" i="55" s="1"/>
  <c r="O16" i="55"/>
  <c r="E16" i="55"/>
  <c r="O14" i="55"/>
  <c r="E13" i="55"/>
  <c r="O11" i="55"/>
  <c r="K61" i="54"/>
  <c r="K60" i="54"/>
  <c r="K59" i="54"/>
  <c r="K58" i="54"/>
  <c r="K57" i="54"/>
  <c r="J56" i="54"/>
  <c r="K56" i="54" s="1"/>
  <c r="K39" i="54"/>
  <c r="E38" i="54"/>
  <c r="K38" i="54" s="1"/>
  <c r="K40" i="54"/>
  <c r="K41" i="54" s="1"/>
  <c r="O16" i="54"/>
  <c r="E16" i="54"/>
  <c r="O14" i="54"/>
  <c r="E13" i="54"/>
  <c r="K61" i="53"/>
  <c r="K60" i="53"/>
  <c r="K59" i="53"/>
  <c r="K58" i="53"/>
  <c r="K57" i="53"/>
  <c r="J56" i="53"/>
  <c r="K56" i="53" s="1"/>
  <c r="K39" i="53"/>
  <c r="E38" i="53"/>
  <c r="K38" i="53" s="1"/>
  <c r="K40" i="53"/>
  <c r="K41" i="53" s="1"/>
  <c r="O16" i="53"/>
  <c r="E16" i="53"/>
  <c r="O14" i="53"/>
  <c r="E13" i="53"/>
  <c r="K61" i="49"/>
  <c r="K60" i="49"/>
  <c r="K59" i="49"/>
  <c r="K58" i="49"/>
  <c r="K57" i="49"/>
  <c r="J56" i="49"/>
  <c r="K56" i="49" s="1"/>
  <c r="K39" i="49"/>
  <c r="E38" i="49"/>
  <c r="K38" i="49" s="1"/>
  <c r="K40" i="49"/>
  <c r="K41" i="49" s="1"/>
  <c r="O16" i="49"/>
  <c r="E16" i="49"/>
  <c r="O14" i="49"/>
  <c r="E13" i="49"/>
  <c r="K61" i="45"/>
  <c r="K60" i="45"/>
  <c r="K59" i="45"/>
  <c r="K58" i="45"/>
  <c r="K57" i="45"/>
  <c r="J56" i="45"/>
  <c r="K56" i="45" s="1"/>
  <c r="K39" i="45"/>
  <c r="E38" i="45"/>
  <c r="K38" i="45" s="1"/>
  <c r="K40" i="45"/>
  <c r="K41" i="45" s="1"/>
  <c r="O16" i="45"/>
  <c r="E16" i="45"/>
  <c r="O14" i="45"/>
  <c r="E13" i="45"/>
  <c r="K61" i="44"/>
  <c r="K60" i="44"/>
  <c r="K59" i="44"/>
  <c r="K58" i="44"/>
  <c r="K57" i="44"/>
  <c r="J56" i="44"/>
  <c r="K56" i="44" s="1"/>
  <c r="K39" i="44"/>
  <c r="E38" i="44"/>
  <c r="K38" i="44" s="1"/>
  <c r="K40" i="44"/>
  <c r="K41" i="44" s="1"/>
  <c r="O16" i="44"/>
  <c r="E16" i="44"/>
  <c r="O14" i="44"/>
  <c r="E13" i="44"/>
  <c r="K61" i="42"/>
  <c r="K60" i="42"/>
  <c r="K59" i="42"/>
  <c r="K58" i="42"/>
  <c r="K57" i="42"/>
  <c r="J56" i="42"/>
  <c r="K56" i="42" s="1"/>
  <c r="K39" i="42"/>
  <c r="E38" i="42"/>
  <c r="K38" i="42" s="1"/>
  <c r="K40" i="42"/>
  <c r="K41" i="42" s="1"/>
  <c r="O16" i="42"/>
  <c r="E16" i="42"/>
  <c r="O14" i="42"/>
  <c r="E13" i="42"/>
  <c r="K61" i="40"/>
  <c r="K60" i="40"/>
  <c r="K59" i="40"/>
  <c r="K58" i="40"/>
  <c r="K57" i="40"/>
  <c r="J56" i="40"/>
  <c r="K56" i="40" s="1"/>
  <c r="K39" i="40"/>
  <c r="E38" i="40"/>
  <c r="K38" i="40" s="1"/>
  <c r="K40" i="40"/>
  <c r="K41" i="40" s="1"/>
  <c r="O16" i="40"/>
  <c r="E16" i="40"/>
  <c r="O14" i="40"/>
  <c r="E13" i="40"/>
  <c r="K61" i="38"/>
  <c r="K60" i="38"/>
  <c r="K59" i="38"/>
  <c r="K58" i="38"/>
  <c r="K57" i="38"/>
  <c r="J56" i="38"/>
  <c r="K56" i="38" s="1"/>
  <c r="K39" i="38"/>
  <c r="E38" i="38"/>
  <c r="K38" i="38" s="1"/>
  <c r="K40" i="38"/>
  <c r="K41" i="38" s="1"/>
  <c r="O16" i="38"/>
  <c r="E16" i="38"/>
  <c r="O14" i="38"/>
  <c r="E13" i="38"/>
  <c r="K61" i="36"/>
  <c r="K60" i="36"/>
  <c r="K59" i="36"/>
  <c r="K58" i="36"/>
  <c r="K57" i="36"/>
  <c r="J56" i="36"/>
  <c r="K56" i="36" s="1"/>
  <c r="K39" i="36"/>
  <c r="E38" i="36"/>
  <c r="K38" i="36" s="1"/>
  <c r="K40" i="36"/>
  <c r="K41" i="36" s="1"/>
  <c r="O16" i="36"/>
  <c r="E16" i="36"/>
  <c r="O14" i="36"/>
  <c r="E13" i="36"/>
  <c r="C34" i="71"/>
  <c r="C20" i="71"/>
  <c r="D32" i="71"/>
  <c r="C29" i="71"/>
  <c r="D28" i="71"/>
  <c r="C24" i="71"/>
  <c r="C32" i="71"/>
  <c r="D33" i="71"/>
  <c r="C19" i="71"/>
  <c r="D34" i="71"/>
  <c r="C26" i="71"/>
  <c r="C33" i="71"/>
  <c r="D35" i="71"/>
  <c r="D19" i="71"/>
  <c r="C18" i="71"/>
  <c r="D30" i="71"/>
  <c r="D29" i="71"/>
  <c r="C21" i="71"/>
  <c r="D18" i="71"/>
  <c r="D24" i="71"/>
  <c r="D26" i="71"/>
  <c r="D23" i="71"/>
  <c r="C30" i="71"/>
  <c r="D27" i="71"/>
  <c r="C27" i="71"/>
  <c r="C36" i="71"/>
  <c r="D36" i="71"/>
  <c r="D25" i="71"/>
  <c r="C23" i="71"/>
  <c r="D20" i="71"/>
  <c r="C25" i="71"/>
  <c r="C28" i="71"/>
  <c r="D21" i="71"/>
  <c r="C35" i="71"/>
  <c r="K42" i="56" l="1"/>
  <c r="K45" i="56" s="1"/>
  <c r="K42" i="53"/>
  <c r="K45" i="53" s="1"/>
  <c r="K42" i="40"/>
  <c r="K45" i="40" s="1"/>
  <c r="S10" i="40" s="1"/>
  <c r="O18" i="65"/>
  <c r="K42" i="62"/>
  <c r="C127" i="62" s="1"/>
  <c r="O18" i="57"/>
  <c r="O18" i="36"/>
  <c r="O18" i="67"/>
  <c r="O18" i="56"/>
  <c r="O18" i="49"/>
  <c r="O18" i="40"/>
  <c r="O18" i="38"/>
  <c r="O18" i="59"/>
  <c r="O18" i="58"/>
  <c r="O18" i="42"/>
  <c r="O18" i="53"/>
  <c r="O18" i="54"/>
  <c r="O18" i="44"/>
  <c r="O18" i="45"/>
  <c r="K42" i="67"/>
  <c r="K45" i="67" s="1"/>
  <c r="K42" i="65"/>
  <c r="K45" i="65" s="1"/>
  <c r="O18" i="55"/>
  <c r="O18" i="62"/>
  <c r="K42" i="59"/>
  <c r="K45" i="59" s="1"/>
  <c r="K42" i="58"/>
  <c r="K45" i="58" s="1"/>
  <c r="K42" i="57"/>
  <c r="K45" i="57" s="1"/>
  <c r="S10" i="56"/>
  <c r="C158" i="56"/>
  <c r="C155" i="56"/>
  <c r="C152" i="56"/>
  <c r="C150" i="56"/>
  <c r="C148" i="56"/>
  <c r="C137" i="56"/>
  <c r="C136" i="56"/>
  <c r="C133" i="56"/>
  <c r="C131" i="56"/>
  <c r="C129" i="56"/>
  <c r="K43" i="56"/>
  <c r="C159" i="56"/>
  <c r="C156" i="56"/>
  <c r="C153" i="56"/>
  <c r="C149" i="56"/>
  <c r="C138" i="56"/>
  <c r="C135" i="56"/>
  <c r="C132" i="56"/>
  <c r="C128" i="56"/>
  <c r="C160" i="56"/>
  <c r="C157" i="56"/>
  <c r="C154" i="56"/>
  <c r="C151" i="56"/>
  <c r="C139" i="56"/>
  <c r="C134" i="56"/>
  <c r="C130" i="56"/>
  <c r="C127" i="56"/>
  <c r="K42" i="55"/>
  <c r="K45" i="55" s="1"/>
  <c r="K42" i="54"/>
  <c r="K45" i="54" s="1"/>
  <c r="S10" i="53"/>
  <c r="K43" i="53"/>
  <c r="R10" i="53" s="1"/>
  <c r="C160" i="53"/>
  <c r="C158" i="53"/>
  <c r="C157" i="53"/>
  <c r="C156" i="53"/>
  <c r="C155" i="53"/>
  <c r="C154" i="53"/>
  <c r="C153" i="53"/>
  <c r="C152" i="53"/>
  <c r="C151" i="53"/>
  <c r="C150" i="53"/>
  <c r="C149" i="53"/>
  <c r="C148" i="53"/>
  <c r="C138" i="53"/>
  <c r="C137" i="53"/>
  <c r="C136" i="53"/>
  <c r="C135" i="53"/>
  <c r="C134" i="53"/>
  <c r="C133" i="53"/>
  <c r="C132" i="53"/>
  <c r="C131" i="53"/>
  <c r="C130" i="53"/>
  <c r="C129" i="53"/>
  <c r="C128" i="53"/>
  <c r="K42" i="49"/>
  <c r="K45" i="49" s="1"/>
  <c r="K42" i="45"/>
  <c r="K45" i="45" s="1"/>
  <c r="K42" i="44"/>
  <c r="K45" i="44" s="1"/>
  <c r="K42" i="42"/>
  <c r="K45" i="42" s="1"/>
  <c r="C151" i="40"/>
  <c r="C138" i="40"/>
  <c r="K43" i="40"/>
  <c r="R10" i="40" s="1"/>
  <c r="C160" i="40"/>
  <c r="C157" i="40"/>
  <c r="C156" i="40"/>
  <c r="C155" i="40"/>
  <c r="C152" i="40"/>
  <c r="C139" i="40"/>
  <c r="C137" i="40"/>
  <c r="K42" i="38"/>
  <c r="K45" i="38" s="1"/>
  <c r="K42" i="36"/>
  <c r="K45" i="36" s="1"/>
  <c r="K61" i="32"/>
  <c r="K60" i="32"/>
  <c r="K59" i="32"/>
  <c r="K58" i="32"/>
  <c r="K57" i="32"/>
  <c r="J56" i="32"/>
  <c r="K56" i="32" s="1"/>
  <c r="K39" i="32"/>
  <c r="E38" i="32"/>
  <c r="K38" i="32" s="1"/>
  <c r="K40" i="32"/>
  <c r="K41" i="32" s="1"/>
  <c r="O16" i="32"/>
  <c r="E16" i="32"/>
  <c r="O14" i="32"/>
  <c r="E13" i="32"/>
  <c r="K61" i="30"/>
  <c r="K60" i="30"/>
  <c r="K59" i="30"/>
  <c r="K58" i="30"/>
  <c r="K57" i="30"/>
  <c r="J56" i="30"/>
  <c r="K56" i="30" s="1"/>
  <c r="K39" i="30"/>
  <c r="E38" i="30"/>
  <c r="K38" i="30" s="1"/>
  <c r="K40" i="30"/>
  <c r="K41" i="30" s="1"/>
  <c r="O16" i="30"/>
  <c r="E16" i="30"/>
  <c r="O14" i="30"/>
  <c r="E13" i="30"/>
  <c r="K61" i="26"/>
  <c r="K60" i="26"/>
  <c r="K59" i="26"/>
  <c r="K58" i="26"/>
  <c r="K57" i="26"/>
  <c r="J56" i="26"/>
  <c r="K56" i="26" s="1"/>
  <c r="K39" i="26"/>
  <c r="E38" i="26"/>
  <c r="K38" i="26" s="1"/>
  <c r="K40" i="26"/>
  <c r="K41" i="26" s="1"/>
  <c r="O16" i="26"/>
  <c r="E16" i="26"/>
  <c r="O14" i="26"/>
  <c r="E13" i="26"/>
  <c r="K61" i="24"/>
  <c r="K60" i="24"/>
  <c r="K59" i="24"/>
  <c r="K58" i="24"/>
  <c r="K57" i="24"/>
  <c r="J56" i="24"/>
  <c r="K56" i="24" s="1"/>
  <c r="K39" i="24"/>
  <c r="E38" i="24"/>
  <c r="K38" i="24" s="1"/>
  <c r="K40" i="24"/>
  <c r="K41" i="24" s="1"/>
  <c r="O16" i="24"/>
  <c r="E16" i="24"/>
  <c r="O14" i="24"/>
  <c r="E13" i="24"/>
  <c r="K61" i="19"/>
  <c r="K60" i="19"/>
  <c r="K59" i="19"/>
  <c r="K58" i="19"/>
  <c r="K57" i="19"/>
  <c r="J56" i="19"/>
  <c r="K56" i="19" s="1"/>
  <c r="K39" i="19"/>
  <c r="E38" i="19"/>
  <c r="K38" i="19" s="1"/>
  <c r="K40" i="19"/>
  <c r="K41" i="19" s="1"/>
  <c r="E16" i="19"/>
  <c r="E13" i="19"/>
  <c r="K63" i="18"/>
  <c r="K61" i="18"/>
  <c r="K60" i="18"/>
  <c r="K59" i="18"/>
  <c r="K58" i="18"/>
  <c r="K57" i="18"/>
  <c r="J56" i="18"/>
  <c r="K56" i="18" s="1"/>
  <c r="K39" i="18"/>
  <c r="E33" i="18"/>
  <c r="E38" i="18" s="1"/>
  <c r="K38" i="18" s="1"/>
  <c r="E24" i="18"/>
  <c r="K40" i="18" s="1"/>
  <c r="K41" i="18" s="1"/>
  <c r="O16" i="18"/>
  <c r="E16" i="18"/>
  <c r="O14" i="18"/>
  <c r="E13" i="18"/>
  <c r="K61" i="12"/>
  <c r="K60" i="12"/>
  <c r="K59" i="12"/>
  <c r="K58" i="12"/>
  <c r="K57" i="12"/>
  <c r="J56" i="12"/>
  <c r="K56" i="12" s="1"/>
  <c r="K39" i="12"/>
  <c r="E38" i="12"/>
  <c r="K38" i="12" s="1"/>
  <c r="K40" i="12"/>
  <c r="K41" i="12" s="1"/>
  <c r="O16" i="12"/>
  <c r="E16" i="12"/>
  <c r="O14" i="12"/>
  <c r="E13" i="12"/>
  <c r="D17" i="71"/>
  <c r="D13" i="71"/>
  <c r="C15" i="71"/>
  <c r="C17" i="71"/>
  <c r="D14" i="71"/>
  <c r="C9" i="71"/>
  <c r="C16" i="71"/>
  <c r="C13" i="71"/>
  <c r="D9" i="71"/>
  <c r="D16" i="71"/>
  <c r="C14" i="71"/>
  <c r="D15" i="71"/>
  <c r="C134" i="40" l="1"/>
  <c r="C127" i="40"/>
  <c r="C136" i="40"/>
  <c r="C131" i="40"/>
  <c r="C148" i="40"/>
  <c r="C149" i="40"/>
  <c r="C127" i="53"/>
  <c r="C139" i="53"/>
  <c r="C159" i="53"/>
  <c r="C130" i="40"/>
  <c r="C158" i="40"/>
  <c r="C132" i="40"/>
  <c r="C159" i="40"/>
  <c r="C131" i="62"/>
  <c r="C135" i="62"/>
  <c r="C155" i="62"/>
  <c r="C159" i="62"/>
  <c r="C150" i="40"/>
  <c r="C129" i="40"/>
  <c r="C153" i="40"/>
  <c r="C133" i="40"/>
  <c r="C128" i="40"/>
  <c r="C154" i="40"/>
  <c r="C135" i="40"/>
  <c r="C128" i="62"/>
  <c r="C151" i="62"/>
  <c r="K43" i="62"/>
  <c r="R10" i="62" s="1"/>
  <c r="C156" i="62"/>
  <c r="C158" i="62"/>
  <c r="C154" i="62"/>
  <c r="K45" i="62"/>
  <c r="S10" i="62" s="1"/>
  <c r="C132" i="62"/>
  <c r="C129" i="62"/>
  <c r="D38" i="71"/>
  <c r="C38" i="71"/>
  <c r="C160" i="62"/>
  <c r="C133" i="62"/>
  <c r="C130" i="62"/>
  <c r="C137" i="62"/>
  <c r="C134" i="62"/>
  <c r="C148" i="62"/>
  <c r="C136" i="62"/>
  <c r="C150" i="62"/>
  <c r="C138" i="62"/>
  <c r="O18" i="26"/>
  <c r="C152" i="62"/>
  <c r="C139" i="62"/>
  <c r="K47" i="56"/>
  <c r="R10" i="56"/>
  <c r="C153" i="62"/>
  <c r="C149" i="62"/>
  <c r="C157" i="62"/>
  <c r="O18" i="32"/>
  <c r="O18" i="24"/>
  <c r="O18" i="18"/>
  <c r="K47" i="40"/>
  <c r="S10" i="67"/>
  <c r="C159" i="67"/>
  <c r="C139" i="67"/>
  <c r="C136" i="67"/>
  <c r="C134" i="67"/>
  <c r="C132" i="67"/>
  <c r="C130" i="67"/>
  <c r="C128" i="67"/>
  <c r="K43" i="67"/>
  <c r="R10" i="67" s="1"/>
  <c r="C158" i="67"/>
  <c r="C137" i="67"/>
  <c r="C133" i="67"/>
  <c r="C129" i="67"/>
  <c r="C160" i="67"/>
  <c r="C157" i="67"/>
  <c r="C156" i="67"/>
  <c r="C155" i="67"/>
  <c r="C154" i="67"/>
  <c r="C153" i="67"/>
  <c r="C152" i="67"/>
  <c r="C151" i="67"/>
  <c r="C150" i="67"/>
  <c r="C149" i="67"/>
  <c r="C148" i="67"/>
  <c r="C138" i="67"/>
  <c r="C135" i="67"/>
  <c r="C131" i="67"/>
  <c r="C127" i="67"/>
  <c r="S10" i="65"/>
  <c r="C158" i="65"/>
  <c r="C137" i="65"/>
  <c r="C135" i="65"/>
  <c r="C133" i="65"/>
  <c r="C130" i="65"/>
  <c r="C127" i="65"/>
  <c r="K43" i="65"/>
  <c r="R10" i="65" s="1"/>
  <c r="C159" i="65"/>
  <c r="C139" i="65"/>
  <c r="C134" i="65"/>
  <c r="C131" i="65"/>
  <c r="C129" i="65"/>
  <c r="C160" i="65"/>
  <c r="C157" i="65"/>
  <c r="C156" i="65"/>
  <c r="C155" i="65"/>
  <c r="C154" i="65"/>
  <c r="C153" i="65"/>
  <c r="C152" i="65"/>
  <c r="C151" i="65"/>
  <c r="C150" i="65"/>
  <c r="C149" i="65"/>
  <c r="C148" i="65"/>
  <c r="C138" i="65"/>
  <c r="C136" i="65"/>
  <c r="C132" i="65"/>
  <c r="C128" i="65"/>
  <c r="S10" i="59"/>
  <c r="K43" i="59"/>
  <c r="R10" i="59" s="1"/>
  <c r="C160" i="59"/>
  <c r="C159" i="59"/>
  <c r="C158" i="59"/>
  <c r="C157" i="59"/>
  <c r="C156" i="59"/>
  <c r="C155" i="59"/>
  <c r="C154" i="59"/>
  <c r="C153" i="59"/>
  <c r="C152" i="59"/>
  <c r="C151" i="59"/>
  <c r="C150" i="59"/>
  <c r="C149" i="59"/>
  <c r="C148" i="59"/>
  <c r="C139" i="59"/>
  <c r="C138" i="59"/>
  <c r="C137" i="59"/>
  <c r="C136" i="59"/>
  <c r="C135" i="59"/>
  <c r="C134" i="59"/>
  <c r="C133" i="59"/>
  <c r="C132" i="59"/>
  <c r="C131" i="59"/>
  <c r="C130" i="59"/>
  <c r="C129" i="59"/>
  <c r="C128" i="59"/>
  <c r="C127" i="59"/>
  <c r="S10" i="58"/>
  <c r="C159" i="58"/>
  <c r="C151" i="58"/>
  <c r="C148" i="58"/>
  <c r="C138" i="58"/>
  <c r="C136" i="58"/>
  <c r="C133" i="58"/>
  <c r="C131" i="58"/>
  <c r="C129" i="58"/>
  <c r="C127" i="58"/>
  <c r="K43" i="58"/>
  <c r="R10" i="58" s="1"/>
  <c r="C158" i="58"/>
  <c r="C153" i="58"/>
  <c r="C149" i="58"/>
  <c r="C137" i="58"/>
  <c r="C134" i="58"/>
  <c r="C132" i="58"/>
  <c r="C130" i="58"/>
  <c r="C160" i="58"/>
  <c r="C157" i="58"/>
  <c r="C156" i="58"/>
  <c r="C155" i="58"/>
  <c r="C154" i="58"/>
  <c r="C152" i="58"/>
  <c r="C150" i="58"/>
  <c r="C139" i="58"/>
  <c r="C135" i="58"/>
  <c r="C128" i="58"/>
  <c r="S10" i="57"/>
  <c r="K43" i="57"/>
  <c r="R10" i="57" s="1"/>
  <c r="C160" i="57"/>
  <c r="C159" i="57"/>
  <c r="C158" i="57"/>
  <c r="C157" i="57"/>
  <c r="C156" i="57"/>
  <c r="C155" i="57"/>
  <c r="C154" i="57"/>
  <c r="C153" i="57"/>
  <c r="C152" i="57"/>
  <c r="C151" i="57"/>
  <c r="C150" i="57"/>
  <c r="C149" i="57"/>
  <c r="C148" i="57"/>
  <c r="C139" i="57"/>
  <c r="C138" i="57"/>
  <c r="C137" i="57"/>
  <c r="C136" i="57"/>
  <c r="C135" i="57"/>
  <c r="C134" i="57"/>
  <c r="C133" i="57"/>
  <c r="C132" i="57"/>
  <c r="C131" i="57"/>
  <c r="C130" i="57"/>
  <c r="C129" i="57"/>
  <c r="C128" i="57"/>
  <c r="C127" i="57"/>
  <c r="S10" i="55"/>
  <c r="C159" i="55"/>
  <c r="C152" i="55"/>
  <c r="C149" i="55"/>
  <c r="C139" i="55"/>
  <c r="C136" i="55"/>
  <c r="C133" i="55"/>
  <c r="C131" i="55"/>
  <c r="C129" i="55"/>
  <c r="K43" i="55"/>
  <c r="R10" i="55" s="1"/>
  <c r="C158" i="55"/>
  <c r="C151" i="55"/>
  <c r="C138" i="55"/>
  <c r="C134" i="55"/>
  <c r="C130" i="55"/>
  <c r="C127" i="55"/>
  <c r="C160" i="55"/>
  <c r="C157" i="55"/>
  <c r="C156" i="55"/>
  <c r="C155" i="55"/>
  <c r="C154" i="55"/>
  <c r="C153" i="55"/>
  <c r="C150" i="55"/>
  <c r="C148" i="55"/>
  <c r="C137" i="55"/>
  <c r="C135" i="55"/>
  <c r="C132" i="55"/>
  <c r="C128" i="55"/>
  <c r="S10" i="54"/>
  <c r="C158" i="54"/>
  <c r="C150" i="54"/>
  <c r="C139" i="54"/>
  <c r="C137" i="54"/>
  <c r="C134" i="54"/>
  <c r="C131" i="54"/>
  <c r="C130" i="54"/>
  <c r="C127" i="54"/>
  <c r="K43" i="54"/>
  <c r="R10" i="54" s="1"/>
  <c r="C159" i="54"/>
  <c r="C151" i="54"/>
  <c r="C148" i="54"/>
  <c r="C136" i="54"/>
  <c r="C132" i="54"/>
  <c r="C128" i="54"/>
  <c r="C160" i="54"/>
  <c r="C157" i="54"/>
  <c r="C156" i="54"/>
  <c r="C155" i="54"/>
  <c r="C154" i="54"/>
  <c r="C153" i="54"/>
  <c r="C152" i="54"/>
  <c r="C149" i="54"/>
  <c r="C138" i="54"/>
  <c r="C135" i="54"/>
  <c r="C133" i="54"/>
  <c r="C129" i="54"/>
  <c r="K47" i="53"/>
  <c r="S10" i="49"/>
  <c r="C139" i="49"/>
  <c r="C131" i="49"/>
  <c r="C128" i="49"/>
  <c r="C127" i="49"/>
  <c r="K43" i="49"/>
  <c r="C137" i="49"/>
  <c r="C160" i="49"/>
  <c r="C159" i="49"/>
  <c r="C158" i="49"/>
  <c r="C157" i="49"/>
  <c r="C156" i="49"/>
  <c r="C155" i="49"/>
  <c r="C154" i="49"/>
  <c r="C153" i="49"/>
  <c r="C152" i="49"/>
  <c r="C151" i="49"/>
  <c r="C150" i="49"/>
  <c r="C149" i="49"/>
  <c r="C148" i="49"/>
  <c r="C138" i="49"/>
  <c r="C136" i="49"/>
  <c r="C135" i="49"/>
  <c r="C134" i="49"/>
  <c r="C133" i="49"/>
  <c r="C132" i="49"/>
  <c r="C130" i="49"/>
  <c r="C129" i="49"/>
  <c r="S10" i="45"/>
  <c r="C130" i="45"/>
  <c r="K43" i="45"/>
  <c r="C160" i="45"/>
  <c r="C159" i="45"/>
  <c r="C158" i="45"/>
  <c r="C157" i="45"/>
  <c r="C156" i="45"/>
  <c r="C155" i="45"/>
  <c r="C154" i="45"/>
  <c r="C153" i="45"/>
  <c r="C152" i="45"/>
  <c r="C151" i="45"/>
  <c r="C150" i="45"/>
  <c r="C149" i="45"/>
  <c r="C148" i="45"/>
  <c r="C139" i="45"/>
  <c r="C138" i="45"/>
  <c r="C137" i="45"/>
  <c r="C136" i="45"/>
  <c r="C135" i="45"/>
  <c r="C134" i="45"/>
  <c r="C133" i="45"/>
  <c r="C132" i="45"/>
  <c r="C131" i="45"/>
  <c r="C129" i="45"/>
  <c r="C128" i="45"/>
  <c r="C127" i="45"/>
  <c r="S10" i="44"/>
  <c r="K43" i="44"/>
  <c r="R10" i="44" s="1"/>
  <c r="C160" i="44"/>
  <c r="C159" i="44"/>
  <c r="C158" i="44"/>
  <c r="C157" i="44"/>
  <c r="C156" i="44"/>
  <c r="C155" i="44"/>
  <c r="C154" i="44"/>
  <c r="C153" i="44"/>
  <c r="C152" i="44"/>
  <c r="C151" i="44"/>
  <c r="C150" i="44"/>
  <c r="C149" i="44"/>
  <c r="C148" i="44"/>
  <c r="C139" i="44"/>
  <c r="C138" i="44"/>
  <c r="C137" i="44"/>
  <c r="C136" i="44"/>
  <c r="C135" i="44"/>
  <c r="C134" i="44"/>
  <c r="C133" i="44"/>
  <c r="C132" i="44"/>
  <c r="C131" i="44"/>
  <c r="C130" i="44"/>
  <c r="C129" i="44"/>
  <c r="C128" i="44"/>
  <c r="C127" i="44"/>
  <c r="S10" i="42"/>
  <c r="K43" i="42"/>
  <c r="C160" i="42"/>
  <c r="C159" i="42"/>
  <c r="C158" i="42"/>
  <c r="C157" i="42"/>
  <c r="C156" i="42"/>
  <c r="C155" i="42"/>
  <c r="C154" i="42"/>
  <c r="C153" i="42"/>
  <c r="C152" i="42"/>
  <c r="C151" i="42"/>
  <c r="C150" i="42"/>
  <c r="C149" i="42"/>
  <c r="C148" i="42"/>
  <c r="C139" i="42"/>
  <c r="C138" i="42"/>
  <c r="C137" i="42"/>
  <c r="C136" i="42"/>
  <c r="C135" i="42"/>
  <c r="C134" i="42"/>
  <c r="C133" i="42"/>
  <c r="C132" i="42"/>
  <c r="C131" i="42"/>
  <c r="C130" i="42"/>
  <c r="C129" i="42"/>
  <c r="C128" i="42"/>
  <c r="C127" i="42"/>
  <c r="S10" i="38"/>
  <c r="K43" i="38"/>
  <c r="R10" i="38" s="1"/>
  <c r="C160" i="38"/>
  <c r="C159" i="38"/>
  <c r="C158" i="38"/>
  <c r="C157" i="38"/>
  <c r="C156" i="38"/>
  <c r="C155" i="38"/>
  <c r="C154" i="38"/>
  <c r="C153" i="38"/>
  <c r="C152" i="38"/>
  <c r="C151" i="38"/>
  <c r="C150" i="38"/>
  <c r="C149" i="38"/>
  <c r="C148" i="38"/>
  <c r="C139" i="38"/>
  <c r="C138" i="38"/>
  <c r="C137" i="38"/>
  <c r="C136" i="38"/>
  <c r="C135" i="38"/>
  <c r="C134" i="38"/>
  <c r="C133" i="38"/>
  <c r="C132" i="38"/>
  <c r="C131" i="38"/>
  <c r="C130" i="38"/>
  <c r="C129" i="38"/>
  <c r="C128" i="38"/>
  <c r="C127" i="38"/>
  <c r="S10" i="36"/>
  <c r="C152" i="36"/>
  <c r="C138" i="36"/>
  <c r="C136" i="36"/>
  <c r="C134" i="36"/>
  <c r="C132" i="36"/>
  <c r="C130" i="36"/>
  <c r="C128" i="36"/>
  <c r="K43" i="36"/>
  <c r="R10" i="36" s="1"/>
  <c r="C160" i="36"/>
  <c r="C159" i="36"/>
  <c r="C158" i="36"/>
  <c r="C157" i="36"/>
  <c r="C156" i="36"/>
  <c r="C155" i="36"/>
  <c r="C154" i="36"/>
  <c r="C153" i="36"/>
  <c r="C151" i="36"/>
  <c r="C150" i="36"/>
  <c r="C149" i="36"/>
  <c r="C148" i="36"/>
  <c r="C139" i="36"/>
  <c r="C137" i="36"/>
  <c r="C135" i="36"/>
  <c r="C133" i="36"/>
  <c r="C131" i="36"/>
  <c r="C129" i="36"/>
  <c r="C127" i="36"/>
  <c r="O18" i="30"/>
  <c r="O18" i="12"/>
  <c r="K42" i="32"/>
  <c r="K45" i="32" s="1"/>
  <c r="K42" i="30"/>
  <c r="K45" i="30" s="1"/>
  <c r="K42" i="12"/>
  <c r="K42" i="19"/>
  <c r="C155" i="19" s="1"/>
  <c r="K42" i="18"/>
  <c r="K42" i="26"/>
  <c r="K45" i="26" s="1"/>
  <c r="K42" i="24"/>
  <c r="K45" i="24" s="1"/>
  <c r="C3" i="11"/>
  <c r="E19" i="11"/>
  <c r="D24" i="11"/>
  <c r="D26" i="11" s="1"/>
  <c r="D37" i="11"/>
  <c r="D54" i="11" s="1"/>
  <c r="D52" i="11"/>
  <c r="D55" i="11"/>
  <c r="D65" i="11"/>
  <c r="D72" i="11" s="1"/>
  <c r="E68" i="11"/>
  <c r="E69" i="11" s="1"/>
  <c r="E73" i="11" s="1"/>
  <c r="D69" i="11"/>
  <c r="D73" i="11" s="1"/>
  <c r="E81" i="11"/>
  <c r="C3" i="10"/>
  <c r="E16" i="10"/>
  <c r="E21" i="10" s="1"/>
  <c r="D24" i="10"/>
  <c r="D26" i="10" s="1"/>
  <c r="D37" i="10"/>
  <c r="D54" i="10" s="1"/>
  <c r="D52" i="10"/>
  <c r="D55" i="10"/>
  <c r="D65" i="10"/>
  <c r="D72" i="10" s="1"/>
  <c r="E68" i="10"/>
  <c r="E69" i="10" s="1"/>
  <c r="E73" i="10" s="1"/>
  <c r="D69" i="10"/>
  <c r="D73" i="10" s="1"/>
  <c r="E82" i="10"/>
  <c r="E89" i="10" s="1"/>
  <c r="E81" i="10"/>
  <c r="K45" i="12" l="1"/>
  <c r="S10" i="12" s="1"/>
  <c r="C129" i="12"/>
  <c r="C158" i="19"/>
  <c r="K45" i="19"/>
  <c r="C127" i="19"/>
  <c r="C131" i="19"/>
  <c r="C135" i="19"/>
  <c r="C139" i="19"/>
  <c r="C151" i="19"/>
  <c r="K45" i="18"/>
  <c r="S10" i="18" s="1"/>
  <c r="C148" i="18"/>
  <c r="K47" i="42"/>
  <c r="R10" i="42"/>
  <c r="K47" i="62"/>
  <c r="D56" i="11"/>
  <c r="C159" i="19"/>
  <c r="K47" i="49"/>
  <c r="R10" i="49"/>
  <c r="K47" i="45"/>
  <c r="R10" i="45"/>
  <c r="K47" i="67"/>
  <c r="K47" i="65"/>
  <c r="K47" i="55"/>
  <c r="K47" i="57"/>
  <c r="K47" i="59"/>
  <c r="K47" i="58"/>
  <c r="K47" i="54"/>
  <c r="K47" i="44"/>
  <c r="K47" i="38"/>
  <c r="K47" i="36"/>
  <c r="S10" i="32"/>
  <c r="C159" i="32"/>
  <c r="C155" i="32"/>
  <c r="C151" i="32"/>
  <c r="C148" i="32"/>
  <c r="C137" i="32"/>
  <c r="C133" i="32"/>
  <c r="C130" i="32"/>
  <c r="K43" i="32"/>
  <c r="C158" i="32"/>
  <c r="C153" i="32"/>
  <c r="C150" i="32"/>
  <c r="C139" i="32"/>
  <c r="C135" i="32"/>
  <c r="C132" i="32"/>
  <c r="C129" i="32"/>
  <c r="C127" i="32"/>
  <c r="C160" i="32"/>
  <c r="C157" i="32"/>
  <c r="C156" i="32"/>
  <c r="C154" i="32"/>
  <c r="C152" i="32"/>
  <c r="C149" i="32"/>
  <c r="C138" i="32"/>
  <c r="C136" i="32"/>
  <c r="C134" i="32"/>
  <c r="C131" i="32"/>
  <c r="C128" i="32"/>
  <c r="S10" i="30"/>
  <c r="K43" i="30"/>
  <c r="R10" i="30" s="1"/>
  <c r="C160" i="30"/>
  <c r="C159" i="30"/>
  <c r="C158" i="30"/>
  <c r="C157" i="30"/>
  <c r="C156" i="30"/>
  <c r="C155" i="30"/>
  <c r="C154" i="30"/>
  <c r="C153" i="30"/>
  <c r="C152" i="30"/>
  <c r="C151" i="30"/>
  <c r="C150" i="30"/>
  <c r="C149" i="30"/>
  <c r="C148" i="30"/>
  <c r="C139" i="30"/>
  <c r="C138" i="30"/>
  <c r="C137" i="30"/>
  <c r="C136" i="30"/>
  <c r="C135" i="30"/>
  <c r="C134" i="30"/>
  <c r="C133" i="30"/>
  <c r="C132" i="30"/>
  <c r="C131" i="30"/>
  <c r="C130" i="30"/>
  <c r="C129" i="30"/>
  <c r="C128" i="30"/>
  <c r="C127" i="30"/>
  <c r="C136" i="12"/>
  <c r="C139" i="12"/>
  <c r="C152" i="12"/>
  <c r="C157" i="12"/>
  <c r="C128" i="12"/>
  <c r="C138" i="12"/>
  <c r="C153" i="12"/>
  <c r="C159" i="12"/>
  <c r="C131" i="12"/>
  <c r="C150" i="12"/>
  <c r="C130" i="12"/>
  <c r="C148" i="12"/>
  <c r="C155" i="12"/>
  <c r="C160" i="12"/>
  <c r="C133" i="12"/>
  <c r="C132" i="12"/>
  <c r="C151" i="12"/>
  <c r="C156" i="12"/>
  <c r="K43" i="12"/>
  <c r="R10" i="12" s="1"/>
  <c r="C137" i="12"/>
  <c r="C134" i="12"/>
  <c r="C149" i="12"/>
  <c r="C154" i="12"/>
  <c r="C158" i="12"/>
  <c r="C127" i="12"/>
  <c r="C135" i="12"/>
  <c r="C128" i="19"/>
  <c r="C132" i="19"/>
  <c r="C136" i="19"/>
  <c r="C148" i="19"/>
  <c r="C152" i="19"/>
  <c r="C156" i="19"/>
  <c r="C160" i="19"/>
  <c r="C129" i="19"/>
  <c r="C133" i="19"/>
  <c r="C137" i="19"/>
  <c r="C149" i="19"/>
  <c r="C153" i="19"/>
  <c r="C157" i="19"/>
  <c r="K43" i="19"/>
  <c r="R10" i="19" s="1"/>
  <c r="S10" i="19"/>
  <c r="C130" i="19"/>
  <c r="C134" i="19"/>
  <c r="C138" i="19"/>
  <c r="C150" i="19"/>
  <c r="C154" i="19"/>
  <c r="C158" i="18"/>
  <c r="C131" i="18"/>
  <c r="C130" i="18"/>
  <c r="C149" i="18"/>
  <c r="C132" i="18"/>
  <c r="C152" i="18"/>
  <c r="C160" i="18"/>
  <c r="C133" i="18"/>
  <c r="C153" i="18"/>
  <c r="C136" i="18"/>
  <c r="C154" i="18"/>
  <c r="K43" i="18"/>
  <c r="C137" i="18"/>
  <c r="C155" i="18"/>
  <c r="C128" i="18"/>
  <c r="C138" i="18"/>
  <c r="C156" i="18"/>
  <c r="C129" i="18"/>
  <c r="C139" i="18"/>
  <c r="C159" i="18"/>
  <c r="C134" i="18"/>
  <c r="C150" i="18"/>
  <c r="C157" i="18"/>
  <c r="C127" i="18"/>
  <c r="C135" i="18"/>
  <c r="C151" i="18"/>
  <c r="S10" i="26"/>
  <c r="K43" i="26"/>
  <c r="R10" i="26" s="1"/>
  <c r="C160" i="26"/>
  <c r="C159" i="26"/>
  <c r="C158" i="26"/>
  <c r="C157" i="26"/>
  <c r="C156" i="26"/>
  <c r="C155" i="26"/>
  <c r="C154" i="26"/>
  <c r="C153" i="26"/>
  <c r="C152" i="26"/>
  <c r="C151" i="26"/>
  <c r="C150" i="26"/>
  <c r="C149" i="26"/>
  <c r="C148" i="26"/>
  <c r="C139" i="26"/>
  <c r="C138" i="26"/>
  <c r="C137" i="26"/>
  <c r="C136" i="26"/>
  <c r="C135" i="26"/>
  <c r="C134" i="26"/>
  <c r="C133" i="26"/>
  <c r="C132" i="26"/>
  <c r="C131" i="26"/>
  <c r="C130" i="26"/>
  <c r="C129" i="26"/>
  <c r="C128" i="26"/>
  <c r="C127" i="26"/>
  <c r="S10" i="24"/>
  <c r="K43" i="24"/>
  <c r="R10" i="24" s="1"/>
  <c r="C160" i="24"/>
  <c r="C159" i="24"/>
  <c r="C158" i="24"/>
  <c r="C157" i="24"/>
  <c r="C156" i="24"/>
  <c r="C155" i="24"/>
  <c r="C154" i="24"/>
  <c r="C153" i="24"/>
  <c r="C152" i="24"/>
  <c r="C151" i="24"/>
  <c r="C150" i="24"/>
  <c r="C149" i="24"/>
  <c r="C148" i="24"/>
  <c r="C139" i="24"/>
  <c r="C138" i="24"/>
  <c r="C137" i="24"/>
  <c r="C136" i="24"/>
  <c r="C135" i="24"/>
  <c r="C134" i="24"/>
  <c r="C133" i="24"/>
  <c r="C132" i="24"/>
  <c r="C131" i="24"/>
  <c r="C130" i="24"/>
  <c r="C129" i="24"/>
  <c r="C128" i="24"/>
  <c r="C127" i="24"/>
  <c r="E82" i="11"/>
  <c r="E89" i="11" s="1"/>
  <c r="E43" i="10"/>
  <c r="E47" i="10" s="1"/>
  <c r="E85" i="10"/>
  <c r="E51" i="10"/>
  <c r="E55" i="10"/>
  <c r="E52" i="10"/>
  <c r="E43" i="11"/>
  <c r="E47" i="11" s="1"/>
  <c r="E21" i="11"/>
  <c r="E51" i="11" s="1"/>
  <c r="D74" i="11"/>
  <c r="E54" i="10"/>
  <c r="D56" i="10"/>
  <c r="E53" i="10"/>
  <c r="D74" i="10"/>
  <c r="E25" i="10"/>
  <c r="E24" i="10"/>
  <c r="K47" i="12" l="1"/>
  <c r="K47" i="32"/>
  <c r="R10" i="32"/>
  <c r="K47" i="18"/>
  <c r="R10" i="18"/>
  <c r="K47" i="19"/>
  <c r="K47" i="30"/>
  <c r="K47" i="24"/>
  <c r="K47" i="26"/>
  <c r="E56" i="10"/>
  <c r="E87" i="10" s="1"/>
  <c r="E55" i="11"/>
  <c r="E52" i="11"/>
  <c r="E25" i="11"/>
  <c r="E24" i="11"/>
  <c r="E85" i="11"/>
  <c r="E54" i="11"/>
  <c r="E53" i="11"/>
  <c r="E26" i="10"/>
  <c r="E26" i="11" l="1"/>
  <c r="E35" i="11" s="1"/>
  <c r="E56" i="11"/>
  <c r="E87" i="11" s="1"/>
  <c r="E35" i="10"/>
  <c r="E36" i="10"/>
  <c r="E45" i="10"/>
  <c r="E30" i="10"/>
  <c r="E32" i="10"/>
  <c r="E34" i="10"/>
  <c r="E33" i="10"/>
  <c r="E31" i="10"/>
  <c r="E29" i="10"/>
  <c r="E31" i="11" l="1"/>
  <c r="E36" i="11"/>
  <c r="E32" i="11"/>
  <c r="E45" i="11"/>
  <c r="E29" i="11"/>
  <c r="E34" i="11"/>
  <c r="E30" i="11"/>
  <c r="E33" i="11"/>
  <c r="E37" i="10"/>
  <c r="E46" i="10" s="1"/>
  <c r="E48" i="10" s="1"/>
  <c r="E37" i="11" l="1"/>
  <c r="E46" i="11" s="1"/>
  <c r="E48" i="11" s="1"/>
  <c r="E86" i="10"/>
  <c r="E59" i="10"/>
  <c r="E60" i="10"/>
  <c r="E61" i="10"/>
  <c r="E63" i="10"/>
  <c r="E62" i="10"/>
  <c r="E64" i="10"/>
  <c r="E63" i="11" l="1"/>
  <c r="E86" i="11"/>
  <c r="E59" i="11"/>
  <c r="E60" i="11"/>
  <c r="E64" i="11"/>
  <c r="E61" i="11"/>
  <c r="E62" i="11"/>
  <c r="E65" i="10"/>
  <c r="E72" i="10" s="1"/>
  <c r="E74" i="10" s="1"/>
  <c r="E65" i="11" l="1"/>
  <c r="E72" i="11" s="1"/>
  <c r="E74" i="11" s="1"/>
  <c r="E88" i="11" s="1"/>
  <c r="E90" i="11" s="1"/>
  <c r="E88" i="10"/>
  <c r="E90" i="10" s="1"/>
  <c r="E83" i="10"/>
  <c r="E83" i="11" l="1"/>
  <c r="K53" i="76"/>
  <c r="K53" i="75"/>
  <c r="K53" i="72"/>
  <c r="K53" i="74"/>
  <c r="K53" i="73"/>
  <c r="K54" i="76"/>
  <c r="K54" i="75"/>
  <c r="K54" i="72"/>
  <c r="K54" i="73"/>
  <c r="K54" i="74"/>
  <c r="K54" i="54"/>
  <c r="K54" i="59"/>
  <c r="K54" i="38"/>
  <c r="K54" i="42"/>
  <c r="K54" i="49"/>
  <c r="K54" i="65"/>
  <c r="K54" i="62"/>
  <c r="K54" i="57"/>
  <c r="K54" i="55"/>
  <c r="K54" i="44"/>
  <c r="K54" i="36"/>
  <c r="K54" i="53"/>
  <c r="K54" i="58"/>
  <c r="K54" i="67"/>
  <c r="K54" i="40"/>
  <c r="K54" i="56"/>
  <c r="K54" i="45"/>
  <c r="K54" i="32"/>
  <c r="K54" i="30"/>
  <c r="K53" i="56"/>
  <c r="K53" i="40"/>
  <c r="K65" i="40" s="1"/>
  <c r="K67" i="40" s="1"/>
  <c r="K70" i="40" s="1"/>
  <c r="K53" i="54"/>
  <c r="K53" i="59"/>
  <c r="K65" i="59" s="1"/>
  <c r="K67" i="59" s="1"/>
  <c r="K70" i="59" s="1"/>
  <c r="K53" i="49"/>
  <c r="K65" i="49" s="1"/>
  <c r="K67" i="49" s="1"/>
  <c r="K70" i="49" s="1"/>
  <c r="K53" i="65"/>
  <c r="K65" i="65" s="1"/>
  <c r="K67" i="65" s="1"/>
  <c r="K70" i="65" s="1"/>
  <c r="K53" i="62"/>
  <c r="K53" i="57"/>
  <c r="K53" i="38"/>
  <c r="K65" i="38" s="1"/>
  <c r="K67" i="38" s="1"/>
  <c r="K53" i="55"/>
  <c r="K53" i="44"/>
  <c r="K53" i="36"/>
  <c r="K53" i="53"/>
  <c r="K53" i="58"/>
  <c r="K53" i="42"/>
  <c r="K65" i="42" s="1"/>
  <c r="K67" i="42" s="1"/>
  <c r="K70" i="42" s="1"/>
  <c r="K53" i="67"/>
  <c r="K65" i="67" s="1"/>
  <c r="K67" i="67" s="1"/>
  <c r="K53" i="45"/>
  <c r="K65" i="45" s="1"/>
  <c r="K67" i="45" s="1"/>
  <c r="K70" i="45" s="1"/>
  <c r="K53" i="30"/>
  <c r="K65" i="30" s="1"/>
  <c r="K67" i="30" s="1"/>
  <c r="K70" i="30" s="1"/>
  <c r="K53" i="32"/>
  <c r="K53" i="24"/>
  <c r="K53" i="26"/>
  <c r="K53" i="19"/>
  <c r="K53" i="18"/>
  <c r="K53" i="12"/>
  <c r="K54" i="19"/>
  <c r="K54" i="12"/>
  <c r="K54" i="26"/>
  <c r="K54" i="24"/>
  <c r="K54" i="18"/>
  <c r="K65" i="56" l="1"/>
  <c r="K67" i="56" s="1"/>
  <c r="K70" i="56" s="1"/>
  <c r="K71" i="65"/>
  <c r="K72" i="65" s="1"/>
  <c r="K75" i="65" s="1"/>
  <c r="K70" i="67"/>
  <c r="K71" i="67" s="1"/>
  <c r="K72" i="67" s="1"/>
  <c r="K75" i="67" s="1"/>
  <c r="K65" i="54"/>
  <c r="K67" i="54" s="1"/>
  <c r="K70" i="54" s="1"/>
  <c r="K65" i="18"/>
  <c r="K71" i="45"/>
  <c r="K72" i="45" s="1"/>
  <c r="K75" i="45" s="1"/>
  <c r="K65" i="19"/>
  <c r="K65" i="72"/>
  <c r="K71" i="49"/>
  <c r="K72" i="49" s="1"/>
  <c r="K75" i="49" s="1"/>
  <c r="K71" i="40"/>
  <c r="K72" i="40" s="1"/>
  <c r="K75" i="40" s="1"/>
  <c r="K65" i="73"/>
  <c r="K67" i="73" s="1"/>
  <c r="K70" i="73" s="1"/>
  <c r="K70" i="38"/>
  <c r="K71" i="38" s="1"/>
  <c r="K65" i="75"/>
  <c r="K67" i="75" s="1"/>
  <c r="K71" i="30"/>
  <c r="K72" i="30" s="1"/>
  <c r="K75" i="30" s="1"/>
  <c r="K71" i="42"/>
  <c r="K72" i="42" s="1"/>
  <c r="K75" i="42" s="1"/>
  <c r="K65" i="58"/>
  <c r="K67" i="58" s="1"/>
  <c r="K70" i="58" s="1"/>
  <c r="K65" i="53"/>
  <c r="K67" i="53" s="1"/>
  <c r="K65" i="36"/>
  <c r="K67" i="36" s="1"/>
  <c r="K70" i="36" s="1"/>
  <c r="K65" i="44"/>
  <c r="K67" i="44" s="1"/>
  <c r="K65" i="55"/>
  <c r="K67" i="55" s="1"/>
  <c r="K70" i="55" s="1"/>
  <c r="K65" i="26"/>
  <c r="K67" i="26" s="1"/>
  <c r="K70" i="26" s="1"/>
  <c r="K65" i="24"/>
  <c r="K67" i="24" s="1"/>
  <c r="K70" i="24" s="1"/>
  <c r="K65" i="57"/>
  <c r="K67" i="57" s="1"/>
  <c r="K70" i="57" s="1"/>
  <c r="K65" i="76"/>
  <c r="K67" i="76" s="1"/>
  <c r="K71" i="59"/>
  <c r="K72" i="59" s="1"/>
  <c r="K75" i="59" s="1"/>
  <c r="K65" i="12"/>
  <c r="K67" i="12" s="1"/>
  <c r="K70" i="12" s="1"/>
  <c r="K65" i="74"/>
  <c r="K67" i="74" s="1"/>
  <c r="K70" i="74" s="1"/>
  <c r="K65" i="32"/>
  <c r="K67" i="32" s="1"/>
  <c r="K70" i="32" s="1"/>
  <c r="K65" i="62"/>
  <c r="K67" i="62" s="1"/>
  <c r="K70" i="62" s="1"/>
  <c r="H21" i="5"/>
  <c r="H22" i="5" s="1"/>
  <c r="H23" i="5" s="1"/>
  <c r="K71" i="56" l="1"/>
  <c r="K72" i="56" s="1"/>
  <c r="K75" i="56" s="1"/>
  <c r="K78" i="40"/>
  <c r="K77" i="40"/>
  <c r="K76" i="40"/>
  <c r="K76" i="45"/>
  <c r="K78" i="45"/>
  <c r="K77" i="45"/>
  <c r="K78" i="49"/>
  <c r="K76" i="49"/>
  <c r="K77" i="49"/>
  <c r="K78" i="42"/>
  <c r="K77" i="42"/>
  <c r="K76" i="42"/>
  <c r="K78" i="30"/>
  <c r="K77" i="30"/>
  <c r="K76" i="30"/>
  <c r="K77" i="56"/>
  <c r="K78" i="56"/>
  <c r="K76" i="56"/>
  <c r="K78" i="59"/>
  <c r="K77" i="59"/>
  <c r="K76" i="59"/>
  <c r="K77" i="67"/>
  <c r="K76" i="67"/>
  <c r="K78" i="67"/>
  <c r="K76" i="65"/>
  <c r="K78" i="65"/>
  <c r="K77" i="65"/>
  <c r="K71" i="12"/>
  <c r="K72" i="12" s="1"/>
  <c r="K75" i="12" s="1"/>
  <c r="K71" i="73"/>
  <c r="K72" i="73"/>
  <c r="K75" i="73" s="1"/>
  <c r="K71" i="26"/>
  <c r="K72" i="26" s="1"/>
  <c r="K75" i="26" s="1"/>
  <c r="K70" i="44"/>
  <c r="K71" i="44" s="1"/>
  <c r="K72" i="44" s="1"/>
  <c r="K75" i="44" s="1"/>
  <c r="K70" i="76"/>
  <c r="K71" i="76" s="1"/>
  <c r="K72" i="76" s="1"/>
  <c r="K75" i="76" s="1"/>
  <c r="K70" i="75"/>
  <c r="K71" i="75" s="1"/>
  <c r="K71" i="24"/>
  <c r="K72" i="24" s="1"/>
  <c r="K75" i="24" s="1"/>
  <c r="K72" i="38"/>
  <c r="K75" i="38" s="1"/>
  <c r="K71" i="54"/>
  <c r="K72" i="54" s="1"/>
  <c r="K75" i="54" s="1"/>
  <c r="K71" i="62"/>
  <c r="K72" i="62" s="1"/>
  <c r="K75" i="62" s="1"/>
  <c r="K70" i="53"/>
  <c r="K71" i="53" s="1"/>
  <c r="K71" i="57"/>
  <c r="K72" i="57" s="1"/>
  <c r="K75" i="57" s="1"/>
  <c r="K71" i="55"/>
  <c r="K72" i="55" s="1"/>
  <c r="K75" i="55" s="1"/>
  <c r="K71" i="36"/>
  <c r="K72" i="36" s="1"/>
  <c r="K75" i="36" s="1"/>
  <c r="K71" i="32"/>
  <c r="K72" i="32" s="1"/>
  <c r="K75" i="32" s="1"/>
  <c r="K71" i="74"/>
  <c r="K72" i="74" s="1"/>
  <c r="K75" i="74" s="1"/>
  <c r="K71" i="58"/>
  <c r="K72" i="58" s="1"/>
  <c r="K75" i="58" s="1"/>
  <c r="K51" i="76"/>
  <c r="K51" i="75"/>
  <c r="K51" i="74"/>
  <c r="K51" i="73"/>
  <c r="K51" i="72"/>
  <c r="K51" i="67"/>
  <c r="K51" i="56"/>
  <c r="K51" i="45"/>
  <c r="K51" i="40"/>
  <c r="K51" i="54"/>
  <c r="K51" i="59"/>
  <c r="K51" i="49"/>
  <c r="K51" i="65"/>
  <c r="K51" i="62"/>
  <c r="K51" i="57"/>
  <c r="K51" i="38"/>
  <c r="K51" i="55"/>
  <c r="K51" i="44"/>
  <c r="K51" i="36"/>
  <c r="K51" i="53"/>
  <c r="K51" i="58"/>
  <c r="K51" i="42"/>
  <c r="K51" i="30"/>
  <c r="K51" i="26"/>
  <c r="K51" i="18"/>
  <c r="K51" i="24"/>
  <c r="F135" i="24" s="1"/>
  <c r="I135" i="24" s="1"/>
  <c r="L135" i="24" s="1"/>
  <c r="K51" i="12"/>
  <c r="K51" i="19"/>
  <c r="K51" i="32"/>
  <c r="K78" i="57" l="1"/>
  <c r="K77" i="57"/>
  <c r="K76" i="57"/>
  <c r="K77" i="58"/>
  <c r="K76" i="58"/>
  <c r="K78" i="58"/>
  <c r="K78" i="76"/>
  <c r="K77" i="76"/>
  <c r="K76" i="76"/>
  <c r="K76" i="26"/>
  <c r="K78" i="26"/>
  <c r="K77" i="26"/>
  <c r="K78" i="74"/>
  <c r="K77" i="74"/>
  <c r="K76" i="74"/>
  <c r="K78" i="24"/>
  <c r="K76" i="24"/>
  <c r="K77" i="24"/>
  <c r="K78" i="36"/>
  <c r="K77" i="36"/>
  <c r="K76" i="36"/>
  <c r="K77" i="38"/>
  <c r="K76" i="38"/>
  <c r="K78" i="38"/>
  <c r="K77" i="44"/>
  <c r="K76" i="44"/>
  <c r="K78" i="44"/>
  <c r="K78" i="55"/>
  <c r="K76" i="55"/>
  <c r="K77" i="55"/>
  <c r="K78" i="62"/>
  <c r="K77" i="62"/>
  <c r="K76" i="62"/>
  <c r="K77" i="32"/>
  <c r="K76" i="32"/>
  <c r="K78" i="32"/>
  <c r="K77" i="73"/>
  <c r="K76" i="73"/>
  <c r="K78" i="73"/>
  <c r="K78" i="12"/>
  <c r="K76" i="12"/>
  <c r="K77" i="12"/>
  <c r="K76" i="54"/>
  <c r="K78" i="54"/>
  <c r="K77" i="54"/>
  <c r="K79" i="56"/>
  <c r="K79" i="65"/>
  <c r="K79" i="59"/>
  <c r="K79" i="42"/>
  <c r="K79" i="67"/>
  <c r="K79" i="49"/>
  <c r="K79" i="45"/>
  <c r="K72" i="53"/>
  <c r="K75" i="53" s="1"/>
  <c r="K72" i="75"/>
  <c r="K75" i="75" s="1"/>
  <c r="K79" i="40"/>
  <c r="K79" i="30"/>
  <c r="S11" i="72"/>
  <c r="F132" i="72"/>
  <c r="I132" i="72" s="1"/>
  <c r="L132" i="72" s="1"/>
  <c r="F150" i="72"/>
  <c r="I150" i="72" s="1"/>
  <c r="R11" i="72"/>
  <c r="F133" i="72"/>
  <c r="F153" i="72"/>
  <c r="I153" i="72" s="1"/>
  <c r="F134" i="72"/>
  <c r="F154" i="72"/>
  <c r="F149" i="72"/>
  <c r="I149" i="72" s="1"/>
  <c r="L149" i="72" s="1"/>
  <c r="F155" i="72"/>
  <c r="I155" i="72" s="1"/>
  <c r="L155" i="72" s="1"/>
  <c r="F151" i="72"/>
  <c r="I151" i="72" s="1"/>
  <c r="L151" i="72" s="1"/>
  <c r="F159" i="72"/>
  <c r="I159" i="72" s="1"/>
  <c r="F138" i="72"/>
  <c r="F128" i="72"/>
  <c r="I128" i="72" s="1"/>
  <c r="L128" i="72" s="1"/>
  <c r="F157" i="72"/>
  <c r="I157" i="72" s="1"/>
  <c r="L157" i="72" s="1"/>
  <c r="F152" i="72"/>
  <c r="I152" i="72" s="1"/>
  <c r="L152" i="72" s="1"/>
  <c r="F131" i="72"/>
  <c r="I131" i="72" s="1"/>
  <c r="L131" i="72" s="1"/>
  <c r="F148" i="72"/>
  <c r="F137" i="72"/>
  <c r="I137" i="72" s="1"/>
  <c r="F156" i="72"/>
  <c r="I156" i="72" s="1"/>
  <c r="L156" i="72" s="1"/>
  <c r="F129" i="72"/>
  <c r="F127" i="72"/>
  <c r="F136" i="72"/>
  <c r="I136" i="72" s="1"/>
  <c r="L136" i="72" s="1"/>
  <c r="F158" i="72"/>
  <c r="I158" i="72" s="1"/>
  <c r="L158" i="72" s="1"/>
  <c r="F135" i="72"/>
  <c r="K67" i="72"/>
  <c r="F139" i="72"/>
  <c r="F160" i="72"/>
  <c r="I160" i="72" s="1"/>
  <c r="L160" i="72" s="1"/>
  <c r="F130" i="72"/>
  <c r="F127" i="73"/>
  <c r="I127" i="73" s="1"/>
  <c r="L127" i="73" s="1"/>
  <c r="F130" i="73"/>
  <c r="F154" i="73"/>
  <c r="I154" i="73" s="1"/>
  <c r="L154" i="73" s="1"/>
  <c r="F137" i="73"/>
  <c r="I137" i="73" s="1"/>
  <c r="L137" i="73" s="1"/>
  <c r="F152" i="73"/>
  <c r="I152" i="73" s="1"/>
  <c r="L152" i="73" s="1"/>
  <c r="F158" i="73"/>
  <c r="I158" i="73" s="1"/>
  <c r="L158" i="73" s="1"/>
  <c r="F131" i="73"/>
  <c r="F148" i="73"/>
  <c r="I148" i="73" s="1"/>
  <c r="L148" i="73" s="1"/>
  <c r="F133" i="73"/>
  <c r="I133" i="73" s="1"/>
  <c r="F157" i="73"/>
  <c r="I157" i="73" s="1"/>
  <c r="L157" i="73" s="1"/>
  <c r="F159" i="73"/>
  <c r="I159" i="73" s="1"/>
  <c r="L159" i="73" s="1"/>
  <c r="F155" i="73"/>
  <c r="I155" i="73" s="1"/>
  <c r="F134" i="73"/>
  <c r="S11" i="73"/>
  <c r="F128" i="73"/>
  <c r="I128" i="73" s="1"/>
  <c r="F135" i="73"/>
  <c r="I135" i="73" s="1"/>
  <c r="L135" i="73" s="1"/>
  <c r="F132" i="73"/>
  <c r="I132" i="73" s="1"/>
  <c r="L132" i="73" s="1"/>
  <c r="R11" i="73"/>
  <c r="F139" i="73"/>
  <c r="I139" i="73" s="1"/>
  <c r="L139" i="73" s="1"/>
  <c r="F156" i="73"/>
  <c r="I156" i="73" s="1"/>
  <c r="L156" i="73" s="1"/>
  <c r="F138" i="73"/>
  <c r="F149" i="73"/>
  <c r="F136" i="73"/>
  <c r="I136" i="73" s="1"/>
  <c r="L136" i="73" s="1"/>
  <c r="F150" i="73"/>
  <c r="I150" i="73" s="1"/>
  <c r="L150" i="73" s="1"/>
  <c r="F151" i="73"/>
  <c r="I151" i="73" s="1"/>
  <c r="L151" i="73" s="1"/>
  <c r="F160" i="73"/>
  <c r="F129" i="73"/>
  <c r="I129" i="73" s="1"/>
  <c r="L129" i="73" s="1"/>
  <c r="F153" i="73"/>
  <c r="F139" i="74"/>
  <c r="I139" i="74" s="1"/>
  <c r="L139" i="74" s="1"/>
  <c r="F135" i="74"/>
  <c r="I135" i="74" s="1"/>
  <c r="L135" i="74" s="1"/>
  <c r="F156" i="74"/>
  <c r="I156" i="74" s="1"/>
  <c r="L156" i="74" s="1"/>
  <c r="F159" i="74"/>
  <c r="I159" i="74" s="1"/>
  <c r="L159" i="74" s="1"/>
  <c r="F130" i="74"/>
  <c r="I130" i="74" s="1"/>
  <c r="L130" i="74" s="1"/>
  <c r="F157" i="74"/>
  <c r="F129" i="74"/>
  <c r="I129" i="74" s="1"/>
  <c r="L129" i="74" s="1"/>
  <c r="F160" i="74"/>
  <c r="I160" i="74" s="1"/>
  <c r="L160" i="74" s="1"/>
  <c r="F131" i="74"/>
  <c r="I131" i="74" s="1"/>
  <c r="L131" i="74" s="1"/>
  <c r="F149" i="74"/>
  <c r="F148" i="74"/>
  <c r="F138" i="74"/>
  <c r="F154" i="74"/>
  <c r="F150" i="74"/>
  <c r="F134" i="74"/>
  <c r="I134" i="74" s="1"/>
  <c r="L134" i="74" s="1"/>
  <c r="F137" i="74"/>
  <c r="F128" i="74"/>
  <c r="I128" i="74" s="1"/>
  <c r="L128" i="74" s="1"/>
  <c r="R11" i="74"/>
  <c r="F152" i="74"/>
  <c r="I152" i="74" s="1"/>
  <c r="L152" i="74" s="1"/>
  <c r="F132" i="74"/>
  <c r="I132" i="74" s="1"/>
  <c r="L132" i="74" s="1"/>
  <c r="S11" i="74"/>
  <c r="F127" i="74"/>
  <c r="I127" i="74" s="1"/>
  <c r="L127" i="74" s="1"/>
  <c r="F153" i="74"/>
  <c r="I153" i="74" s="1"/>
  <c r="L153" i="74" s="1"/>
  <c r="F158" i="74"/>
  <c r="I158" i="74" s="1"/>
  <c r="L158" i="74" s="1"/>
  <c r="F151" i="74"/>
  <c r="F155" i="74"/>
  <c r="I155" i="74" s="1"/>
  <c r="L155" i="74" s="1"/>
  <c r="F136" i="74"/>
  <c r="I136" i="74" s="1"/>
  <c r="L136" i="74" s="1"/>
  <c r="F133" i="74"/>
  <c r="I133" i="74" s="1"/>
  <c r="L133" i="74" s="1"/>
  <c r="F133" i="75"/>
  <c r="F135" i="75"/>
  <c r="I135" i="75" s="1"/>
  <c r="L135" i="75" s="1"/>
  <c r="F157" i="75"/>
  <c r="I157" i="75" s="1"/>
  <c r="L157" i="75" s="1"/>
  <c r="F130" i="75"/>
  <c r="I130" i="75" s="1"/>
  <c r="L130" i="75" s="1"/>
  <c r="F132" i="75"/>
  <c r="I132" i="75" s="1"/>
  <c r="L132" i="75" s="1"/>
  <c r="S11" i="75"/>
  <c r="F127" i="75"/>
  <c r="I127" i="75" s="1"/>
  <c r="L127" i="75" s="1"/>
  <c r="F137" i="75"/>
  <c r="I137" i="75" s="1"/>
  <c r="L137" i="75" s="1"/>
  <c r="F139" i="75"/>
  <c r="I139" i="75" s="1"/>
  <c r="L139" i="75" s="1"/>
  <c r="F160" i="75"/>
  <c r="I160" i="75" s="1"/>
  <c r="L160" i="75" s="1"/>
  <c r="F153" i="75"/>
  <c r="I153" i="75" s="1"/>
  <c r="L153" i="75" s="1"/>
  <c r="R11" i="75"/>
  <c r="F131" i="75"/>
  <c r="F150" i="75"/>
  <c r="I150" i="75" s="1"/>
  <c r="L150" i="75" s="1"/>
  <c r="F128" i="75"/>
  <c r="I128" i="75" s="1"/>
  <c r="L128" i="75" s="1"/>
  <c r="F149" i="75"/>
  <c r="F159" i="75"/>
  <c r="I159" i="75" s="1"/>
  <c r="L159" i="75" s="1"/>
  <c r="F148" i="75"/>
  <c r="I148" i="75" s="1"/>
  <c r="L148" i="75" s="1"/>
  <c r="F151" i="75"/>
  <c r="I151" i="75" s="1"/>
  <c r="L151" i="75" s="1"/>
  <c r="F129" i="75"/>
  <c r="I129" i="75" s="1"/>
  <c r="L129" i="75" s="1"/>
  <c r="F158" i="75"/>
  <c r="I158" i="75" s="1"/>
  <c r="L158" i="75" s="1"/>
  <c r="F154" i="75"/>
  <c r="I154" i="75" s="1"/>
  <c r="L154" i="75" s="1"/>
  <c r="F138" i="75"/>
  <c r="I138" i="75" s="1"/>
  <c r="L138" i="75" s="1"/>
  <c r="F156" i="75"/>
  <c r="I156" i="75" s="1"/>
  <c r="L156" i="75" s="1"/>
  <c r="F152" i="75"/>
  <c r="I152" i="75" s="1"/>
  <c r="L152" i="75" s="1"/>
  <c r="F136" i="75"/>
  <c r="I136" i="75" s="1"/>
  <c r="L136" i="75" s="1"/>
  <c r="F134" i="75"/>
  <c r="I134" i="75" s="1"/>
  <c r="L134" i="75" s="1"/>
  <c r="F155" i="75"/>
  <c r="I155" i="75" s="1"/>
  <c r="L155" i="75" s="1"/>
  <c r="F160" i="76"/>
  <c r="F136" i="76"/>
  <c r="I136" i="76" s="1"/>
  <c r="L136" i="76" s="1"/>
  <c r="F151" i="76"/>
  <c r="I151" i="76" s="1"/>
  <c r="L151" i="76" s="1"/>
  <c r="F153" i="76"/>
  <c r="I153" i="76" s="1"/>
  <c r="L153" i="76" s="1"/>
  <c r="F156" i="76"/>
  <c r="I156" i="76" s="1"/>
  <c r="L156" i="76" s="1"/>
  <c r="F131" i="76"/>
  <c r="I131" i="76" s="1"/>
  <c r="L131" i="76" s="1"/>
  <c r="F132" i="76"/>
  <c r="I132" i="76" s="1"/>
  <c r="L132" i="76" s="1"/>
  <c r="F135" i="76"/>
  <c r="F129" i="76"/>
  <c r="I129" i="76" s="1"/>
  <c r="L129" i="76" s="1"/>
  <c r="F138" i="76"/>
  <c r="I138" i="76" s="1"/>
  <c r="L138" i="76" s="1"/>
  <c r="F148" i="76"/>
  <c r="I148" i="76" s="1"/>
  <c r="L148" i="76" s="1"/>
  <c r="F155" i="76"/>
  <c r="I155" i="76" s="1"/>
  <c r="L155" i="76" s="1"/>
  <c r="F158" i="76"/>
  <c r="F137" i="76"/>
  <c r="I137" i="76" s="1"/>
  <c r="L137" i="76" s="1"/>
  <c r="F134" i="76"/>
  <c r="I134" i="76" s="1"/>
  <c r="L134" i="76" s="1"/>
  <c r="F127" i="76"/>
  <c r="I127" i="76" s="1"/>
  <c r="L127" i="76" s="1"/>
  <c r="F133" i="76"/>
  <c r="I133" i="76" s="1"/>
  <c r="L133" i="76" s="1"/>
  <c r="F130" i="76"/>
  <c r="I130" i="76" s="1"/>
  <c r="L130" i="76" s="1"/>
  <c r="R11" i="76"/>
  <c r="F150" i="76"/>
  <c r="I150" i="76" s="1"/>
  <c r="L150" i="76" s="1"/>
  <c r="F139" i="76"/>
  <c r="I139" i="76" s="1"/>
  <c r="L139" i="76" s="1"/>
  <c r="F152" i="76"/>
  <c r="I152" i="76" s="1"/>
  <c r="L152" i="76" s="1"/>
  <c r="F128" i="76"/>
  <c r="I128" i="76" s="1"/>
  <c r="L128" i="76" s="1"/>
  <c r="F157" i="76"/>
  <c r="I157" i="76" s="1"/>
  <c r="L157" i="76" s="1"/>
  <c r="F159" i="76"/>
  <c r="F149" i="76"/>
  <c r="I149" i="76" s="1"/>
  <c r="L149" i="76" s="1"/>
  <c r="S11" i="76"/>
  <c r="F154" i="76"/>
  <c r="I154" i="76" s="1"/>
  <c r="L154" i="76" s="1"/>
  <c r="F129" i="24"/>
  <c r="I129" i="24" s="1"/>
  <c r="L129" i="24" s="1"/>
  <c r="F153" i="24"/>
  <c r="I153" i="24" s="1"/>
  <c r="L153" i="24" s="1"/>
  <c r="F154" i="24"/>
  <c r="I154" i="24" s="1"/>
  <c r="L154" i="24" s="1"/>
  <c r="F157" i="24"/>
  <c r="I157" i="24" s="1"/>
  <c r="L157" i="24" s="1"/>
  <c r="F134" i="24"/>
  <c r="I134" i="24" s="1"/>
  <c r="L134" i="24" s="1"/>
  <c r="F139" i="24"/>
  <c r="I139" i="24" s="1"/>
  <c r="L139" i="24" s="1"/>
  <c r="F137" i="24"/>
  <c r="I137" i="24" s="1"/>
  <c r="L137" i="24" s="1"/>
  <c r="F150" i="24"/>
  <c r="I150" i="24" s="1"/>
  <c r="L150" i="24" s="1"/>
  <c r="F159" i="24"/>
  <c r="I159" i="24" s="1"/>
  <c r="L159" i="24" s="1"/>
  <c r="R11" i="19"/>
  <c r="S11" i="19"/>
  <c r="R11" i="55"/>
  <c r="S11" i="55"/>
  <c r="S11" i="12"/>
  <c r="R11" i="12"/>
  <c r="R11" i="38"/>
  <c r="S11" i="38"/>
  <c r="S11" i="24"/>
  <c r="R11" i="24"/>
  <c r="S11" i="57"/>
  <c r="R11" i="57"/>
  <c r="F158" i="18"/>
  <c r="I158" i="18" s="1"/>
  <c r="R11" i="18"/>
  <c r="S11" i="18"/>
  <c r="S11" i="62"/>
  <c r="R11" i="62"/>
  <c r="S11" i="26"/>
  <c r="R11" i="26"/>
  <c r="R11" i="65"/>
  <c r="S11" i="65"/>
  <c r="F128" i="24"/>
  <c r="I128" i="24" s="1"/>
  <c r="L128" i="24" s="1"/>
  <c r="R11" i="30"/>
  <c r="S11" i="30"/>
  <c r="R11" i="49"/>
  <c r="S11" i="49"/>
  <c r="F151" i="24"/>
  <c r="I151" i="24" s="1"/>
  <c r="L151" i="24" s="1"/>
  <c r="R11" i="59"/>
  <c r="S11" i="59"/>
  <c r="R11" i="42"/>
  <c r="S11" i="42"/>
  <c r="S11" i="54"/>
  <c r="R11" i="54"/>
  <c r="R11" i="58"/>
  <c r="S11" i="58"/>
  <c r="R11" i="40"/>
  <c r="S11" i="40"/>
  <c r="S11" i="53"/>
  <c r="R11" i="53"/>
  <c r="S11" i="45"/>
  <c r="R11" i="45"/>
  <c r="F155" i="24"/>
  <c r="I155" i="24" s="1"/>
  <c r="L155" i="24" s="1"/>
  <c r="F130" i="24"/>
  <c r="I130" i="24" s="1"/>
  <c r="L130" i="24" s="1"/>
  <c r="F131" i="24"/>
  <c r="I131" i="24" s="1"/>
  <c r="L131" i="24" s="1"/>
  <c r="F127" i="24"/>
  <c r="I127" i="24" s="1"/>
  <c r="L127" i="24" s="1"/>
  <c r="F152" i="24"/>
  <c r="I152" i="24" s="1"/>
  <c r="L152" i="24" s="1"/>
  <c r="R11" i="36"/>
  <c r="S11" i="36"/>
  <c r="S11" i="56"/>
  <c r="R11" i="56"/>
  <c r="F148" i="24"/>
  <c r="I148" i="24" s="1"/>
  <c r="L148" i="24" s="1"/>
  <c r="F138" i="24"/>
  <c r="I138" i="24" s="1"/>
  <c r="F156" i="24"/>
  <c r="I156" i="24" s="1"/>
  <c r="L156" i="24" s="1"/>
  <c r="F133" i="24"/>
  <c r="I133" i="24" s="1"/>
  <c r="L133" i="24" s="1"/>
  <c r="F160" i="24"/>
  <c r="I160" i="24" s="1"/>
  <c r="L160" i="24" s="1"/>
  <c r="F158" i="24"/>
  <c r="I158" i="24" s="1"/>
  <c r="L158" i="24" s="1"/>
  <c r="F149" i="24"/>
  <c r="I149" i="24" s="1"/>
  <c r="L149" i="24" s="1"/>
  <c r="S11" i="32"/>
  <c r="R11" i="32"/>
  <c r="S11" i="44"/>
  <c r="R11" i="44"/>
  <c r="R11" i="67"/>
  <c r="S11" i="67"/>
  <c r="F159" i="18"/>
  <c r="I159" i="18" s="1"/>
  <c r="L159" i="18" s="1"/>
  <c r="F138" i="18"/>
  <c r="I138" i="18" s="1"/>
  <c r="L138" i="18" s="1"/>
  <c r="F152" i="18"/>
  <c r="I152" i="18" s="1"/>
  <c r="F137" i="18"/>
  <c r="I137" i="18" s="1"/>
  <c r="L137" i="18" s="1"/>
  <c r="F135" i="18"/>
  <c r="I135" i="18" s="1"/>
  <c r="L135" i="18" s="1"/>
  <c r="K67" i="18"/>
  <c r="K70" i="18" s="1"/>
  <c r="K71" i="18" s="1"/>
  <c r="F130" i="18"/>
  <c r="I130" i="18" s="1"/>
  <c r="F136" i="18"/>
  <c r="I136" i="18" s="1"/>
  <c r="L136" i="18" s="1"/>
  <c r="F139" i="18"/>
  <c r="I139" i="18" s="1"/>
  <c r="L139" i="18" s="1"/>
  <c r="F131" i="18"/>
  <c r="I131" i="18" s="1"/>
  <c r="F153" i="18"/>
  <c r="I153" i="18" s="1"/>
  <c r="L153" i="18" s="1"/>
  <c r="F133" i="18"/>
  <c r="I133" i="18" s="1"/>
  <c r="F157" i="18"/>
  <c r="I157" i="18" s="1"/>
  <c r="F156" i="18"/>
  <c r="I156" i="18" s="1"/>
  <c r="L156" i="18" s="1"/>
  <c r="F151" i="18"/>
  <c r="I151" i="18" s="1"/>
  <c r="F150" i="18"/>
  <c r="I150" i="18" s="1"/>
  <c r="L150" i="18" s="1"/>
  <c r="F160" i="18"/>
  <c r="I160" i="18" s="1"/>
  <c r="F127" i="18"/>
  <c r="I127" i="18" s="1"/>
  <c r="L127" i="18" s="1"/>
  <c r="F132" i="18"/>
  <c r="I132" i="18" s="1"/>
  <c r="L132" i="18" s="1"/>
  <c r="F128" i="18"/>
  <c r="I128" i="18" s="1"/>
  <c r="L128" i="18" s="1"/>
  <c r="F149" i="18"/>
  <c r="I149" i="18" s="1"/>
  <c r="L149" i="18" s="1"/>
  <c r="F154" i="18"/>
  <c r="I154" i="18" s="1"/>
  <c r="L154" i="18" s="1"/>
  <c r="F129" i="18"/>
  <c r="I129" i="18" s="1"/>
  <c r="F134" i="18"/>
  <c r="I134" i="18" s="1"/>
  <c r="L134" i="18" s="1"/>
  <c r="F154" i="57"/>
  <c r="I154" i="57" s="1"/>
  <c r="L154" i="57" s="1"/>
  <c r="F136" i="57"/>
  <c r="I136" i="57" s="1"/>
  <c r="L136" i="57" s="1"/>
  <c r="F158" i="57"/>
  <c r="I158" i="57" s="1"/>
  <c r="F148" i="57"/>
  <c r="I148" i="57" s="1"/>
  <c r="L148" i="57" s="1"/>
  <c r="F127" i="57"/>
  <c r="I127" i="57" s="1"/>
  <c r="L127" i="57" s="1"/>
  <c r="F152" i="57"/>
  <c r="I152" i="57" s="1"/>
  <c r="L152" i="57" s="1"/>
  <c r="F131" i="57"/>
  <c r="I131" i="57" s="1"/>
  <c r="L131" i="57" s="1"/>
  <c r="F156" i="57"/>
  <c r="I156" i="57" s="1"/>
  <c r="L156" i="57" s="1"/>
  <c r="F135" i="57"/>
  <c r="I135" i="57" s="1"/>
  <c r="L135" i="57" s="1"/>
  <c r="F160" i="57"/>
  <c r="I160" i="57" s="1"/>
  <c r="L160" i="57" s="1"/>
  <c r="F139" i="57"/>
  <c r="I139" i="57" s="1"/>
  <c r="L139" i="57" s="1"/>
  <c r="F129" i="57"/>
  <c r="I129" i="57" s="1"/>
  <c r="L129" i="57" s="1"/>
  <c r="F151" i="57"/>
  <c r="I151" i="57" s="1"/>
  <c r="L151" i="57" s="1"/>
  <c r="F133" i="57"/>
  <c r="I133" i="57" s="1"/>
  <c r="L133" i="57" s="1"/>
  <c r="F130" i="57"/>
  <c r="I130" i="57" s="1"/>
  <c r="L130" i="57" s="1"/>
  <c r="F155" i="57"/>
  <c r="I155" i="57" s="1"/>
  <c r="L155" i="57" s="1"/>
  <c r="F137" i="57"/>
  <c r="I137" i="57" s="1"/>
  <c r="L137" i="57" s="1"/>
  <c r="F134" i="57"/>
  <c r="I134" i="57" s="1"/>
  <c r="L134" i="57" s="1"/>
  <c r="F159" i="57"/>
  <c r="I159" i="57" s="1"/>
  <c r="L159" i="57" s="1"/>
  <c r="F149" i="57"/>
  <c r="I149" i="57" s="1"/>
  <c r="F138" i="57"/>
  <c r="I138" i="57" s="1"/>
  <c r="F128" i="57"/>
  <c r="I128" i="57" s="1"/>
  <c r="F153" i="57"/>
  <c r="I153" i="57" s="1"/>
  <c r="L153" i="57" s="1"/>
  <c r="F150" i="57"/>
  <c r="I150" i="57" s="1"/>
  <c r="L150" i="57" s="1"/>
  <c r="F132" i="57"/>
  <c r="I132" i="57" s="1"/>
  <c r="L132" i="57" s="1"/>
  <c r="F157" i="57"/>
  <c r="I157" i="57" s="1"/>
  <c r="L157" i="57" s="1"/>
  <c r="F134" i="12"/>
  <c r="I134" i="12" s="1"/>
  <c r="L134" i="12" s="1"/>
  <c r="F133" i="12"/>
  <c r="F152" i="12"/>
  <c r="I152" i="12" s="1"/>
  <c r="L152" i="12" s="1"/>
  <c r="F153" i="12"/>
  <c r="I153" i="12" s="1"/>
  <c r="L153" i="12" s="1"/>
  <c r="F136" i="12"/>
  <c r="I136" i="12" s="1"/>
  <c r="L136" i="12" s="1"/>
  <c r="F137" i="12"/>
  <c r="F135" i="12"/>
  <c r="I135" i="12" s="1"/>
  <c r="L135" i="12" s="1"/>
  <c r="F160" i="12"/>
  <c r="I160" i="12" s="1"/>
  <c r="L160" i="12" s="1"/>
  <c r="F157" i="12"/>
  <c r="I157" i="12" s="1"/>
  <c r="L157" i="12" s="1"/>
  <c r="F129" i="12"/>
  <c r="I129" i="12" s="1"/>
  <c r="L129" i="12" s="1"/>
  <c r="F131" i="12"/>
  <c r="F127" i="12"/>
  <c r="I127" i="12" s="1"/>
  <c r="L127" i="12" s="1"/>
  <c r="F158" i="12"/>
  <c r="I158" i="12" s="1"/>
  <c r="L158" i="12" s="1"/>
  <c r="F139" i="12"/>
  <c r="I139" i="12" s="1"/>
  <c r="L139" i="12" s="1"/>
  <c r="F148" i="12"/>
  <c r="I148" i="12" s="1"/>
  <c r="L148" i="12" s="1"/>
  <c r="F150" i="12"/>
  <c r="I150" i="12" s="1"/>
  <c r="L150" i="12" s="1"/>
  <c r="F128" i="12"/>
  <c r="I128" i="12" s="1"/>
  <c r="L128" i="12" s="1"/>
  <c r="F154" i="12"/>
  <c r="F132" i="12"/>
  <c r="I132" i="12" s="1"/>
  <c r="L132" i="12" s="1"/>
  <c r="F151" i="12"/>
  <c r="I151" i="12" s="1"/>
  <c r="L151" i="12" s="1"/>
  <c r="F130" i="12"/>
  <c r="I130" i="12" s="1"/>
  <c r="L130" i="12" s="1"/>
  <c r="F149" i="12"/>
  <c r="I149" i="12" s="1"/>
  <c r="L149" i="12" s="1"/>
  <c r="F156" i="12"/>
  <c r="I156" i="12" s="1"/>
  <c r="L156" i="12" s="1"/>
  <c r="F155" i="12"/>
  <c r="I155" i="12" s="1"/>
  <c r="L155" i="12" s="1"/>
  <c r="F138" i="12"/>
  <c r="I138" i="12" s="1"/>
  <c r="L138" i="12" s="1"/>
  <c r="F159" i="12"/>
  <c r="F127" i="42"/>
  <c r="I127" i="42" s="1"/>
  <c r="L127" i="42" s="1"/>
  <c r="F153" i="42"/>
  <c r="I153" i="42" s="1"/>
  <c r="L153" i="42" s="1"/>
  <c r="F131" i="42"/>
  <c r="I131" i="42" s="1"/>
  <c r="L131" i="42" s="1"/>
  <c r="F157" i="42"/>
  <c r="I157" i="42" s="1"/>
  <c r="L157" i="42" s="1"/>
  <c r="F135" i="42"/>
  <c r="I135" i="42" s="1"/>
  <c r="L135" i="42" s="1"/>
  <c r="F130" i="42"/>
  <c r="I130" i="42" s="1"/>
  <c r="F139" i="42"/>
  <c r="I139" i="42" s="1"/>
  <c r="L139" i="42" s="1"/>
  <c r="F134" i="42"/>
  <c r="I134" i="42" s="1"/>
  <c r="L134" i="42" s="1"/>
  <c r="F151" i="42"/>
  <c r="I151" i="42" s="1"/>
  <c r="L151" i="42" s="1"/>
  <c r="F138" i="42"/>
  <c r="I138" i="42" s="1"/>
  <c r="L138" i="42" s="1"/>
  <c r="F132" i="42"/>
  <c r="I132" i="42" s="1"/>
  <c r="L132" i="42" s="1"/>
  <c r="F155" i="42"/>
  <c r="I155" i="42" s="1"/>
  <c r="L155" i="42" s="1"/>
  <c r="F150" i="42"/>
  <c r="I150" i="42" s="1"/>
  <c r="L150" i="42" s="1"/>
  <c r="F148" i="42"/>
  <c r="I148" i="42" s="1"/>
  <c r="L148" i="42" s="1"/>
  <c r="F159" i="42"/>
  <c r="I159" i="42" s="1"/>
  <c r="F154" i="42"/>
  <c r="I154" i="42" s="1"/>
  <c r="F152" i="42"/>
  <c r="I152" i="42" s="1"/>
  <c r="L152" i="42" s="1"/>
  <c r="F128" i="42"/>
  <c r="I128" i="42" s="1"/>
  <c r="L128" i="42" s="1"/>
  <c r="F158" i="42"/>
  <c r="I158" i="42" s="1"/>
  <c r="L158" i="42" s="1"/>
  <c r="F160" i="42"/>
  <c r="I160" i="42" s="1"/>
  <c r="F136" i="42"/>
  <c r="I136" i="42" s="1"/>
  <c r="L136" i="42" s="1"/>
  <c r="F133" i="42"/>
  <c r="I133" i="42" s="1"/>
  <c r="L133" i="42" s="1"/>
  <c r="F156" i="42"/>
  <c r="I156" i="42" s="1"/>
  <c r="F149" i="42"/>
  <c r="I149" i="42" s="1"/>
  <c r="L149" i="42" s="1"/>
  <c r="F129" i="42"/>
  <c r="I129" i="42" s="1"/>
  <c r="F137" i="42"/>
  <c r="I137" i="42" s="1"/>
  <c r="L137" i="42" s="1"/>
  <c r="F160" i="62"/>
  <c r="I160" i="62" s="1"/>
  <c r="L160" i="62" s="1"/>
  <c r="F157" i="62"/>
  <c r="I157" i="62" s="1"/>
  <c r="L157" i="62" s="1"/>
  <c r="F135" i="62"/>
  <c r="I135" i="62" s="1"/>
  <c r="L135" i="62" s="1"/>
  <c r="F127" i="62"/>
  <c r="I127" i="62" s="1"/>
  <c r="F130" i="62"/>
  <c r="I130" i="62" s="1"/>
  <c r="L130" i="62" s="1"/>
  <c r="F159" i="62"/>
  <c r="I159" i="62" s="1"/>
  <c r="L159" i="62" s="1"/>
  <c r="F152" i="62"/>
  <c r="I152" i="62" s="1"/>
  <c r="L152" i="62" s="1"/>
  <c r="F138" i="62"/>
  <c r="I138" i="62" s="1"/>
  <c r="L138" i="62" s="1"/>
  <c r="F139" i="62"/>
  <c r="I139" i="62" s="1"/>
  <c r="F132" i="62"/>
  <c r="I132" i="62" s="1"/>
  <c r="L132" i="62" s="1"/>
  <c r="F154" i="62"/>
  <c r="I154" i="62" s="1"/>
  <c r="L154" i="62" s="1"/>
  <c r="F156" i="62"/>
  <c r="I156" i="62" s="1"/>
  <c r="F158" i="62"/>
  <c r="I158" i="62" s="1"/>
  <c r="F129" i="62"/>
  <c r="I129" i="62" s="1"/>
  <c r="F131" i="62"/>
  <c r="I131" i="62" s="1"/>
  <c r="L131" i="62" s="1"/>
  <c r="F137" i="62"/>
  <c r="I137" i="62" s="1"/>
  <c r="L137" i="62" s="1"/>
  <c r="F148" i="62"/>
  <c r="I148" i="62" s="1"/>
  <c r="L148" i="62" s="1"/>
  <c r="F153" i="62"/>
  <c r="I153" i="62" s="1"/>
  <c r="F155" i="62"/>
  <c r="I155" i="62" s="1"/>
  <c r="L155" i="62" s="1"/>
  <c r="F134" i="62"/>
  <c r="I134" i="62" s="1"/>
  <c r="L134" i="62" s="1"/>
  <c r="F128" i="62"/>
  <c r="I128" i="62" s="1"/>
  <c r="L128" i="62" s="1"/>
  <c r="F149" i="62"/>
  <c r="I149" i="62" s="1"/>
  <c r="F136" i="62"/>
  <c r="I136" i="62" s="1"/>
  <c r="L136" i="62" s="1"/>
  <c r="F133" i="62"/>
  <c r="I133" i="62" s="1"/>
  <c r="L133" i="62" s="1"/>
  <c r="F151" i="62"/>
  <c r="I151" i="62" s="1"/>
  <c r="L151" i="62" s="1"/>
  <c r="F150" i="62"/>
  <c r="I150" i="62" s="1"/>
  <c r="L150" i="62" s="1"/>
  <c r="F156" i="65"/>
  <c r="I156" i="65" s="1"/>
  <c r="L156" i="65" s="1"/>
  <c r="F150" i="65"/>
  <c r="I150" i="65" s="1"/>
  <c r="F135" i="65"/>
  <c r="I135" i="65" s="1"/>
  <c r="L135" i="65" s="1"/>
  <c r="F154" i="65"/>
  <c r="I154" i="65" s="1"/>
  <c r="L154" i="65" s="1"/>
  <c r="F132" i="65"/>
  <c r="I132" i="65" s="1"/>
  <c r="L132" i="65" s="1"/>
  <c r="F160" i="65"/>
  <c r="I160" i="65" s="1"/>
  <c r="L160" i="65" s="1"/>
  <c r="F149" i="65"/>
  <c r="I149" i="65" s="1"/>
  <c r="L149" i="65" s="1"/>
  <c r="F139" i="65"/>
  <c r="I139" i="65" s="1"/>
  <c r="L139" i="65" s="1"/>
  <c r="F153" i="65"/>
  <c r="I153" i="65" s="1"/>
  <c r="F130" i="65"/>
  <c r="I130" i="65" s="1"/>
  <c r="L130" i="65" s="1"/>
  <c r="F157" i="65"/>
  <c r="I157" i="65" s="1"/>
  <c r="L157" i="65" s="1"/>
  <c r="F158" i="65"/>
  <c r="I158" i="65" s="1"/>
  <c r="L158" i="65" s="1"/>
  <c r="F134" i="65"/>
  <c r="I134" i="65" s="1"/>
  <c r="L134" i="65" s="1"/>
  <c r="F138" i="65"/>
  <c r="I138" i="65" s="1"/>
  <c r="L138" i="65" s="1"/>
  <c r="F127" i="65"/>
  <c r="I127" i="65" s="1"/>
  <c r="L127" i="65" s="1"/>
  <c r="F151" i="65"/>
  <c r="I151" i="65" s="1"/>
  <c r="L151" i="65" s="1"/>
  <c r="F137" i="65"/>
  <c r="I137" i="65" s="1"/>
  <c r="L137" i="65" s="1"/>
  <c r="F155" i="65"/>
  <c r="I155" i="65" s="1"/>
  <c r="F148" i="65"/>
  <c r="I148" i="65" s="1"/>
  <c r="L148" i="65" s="1"/>
  <c r="F129" i="65"/>
  <c r="I129" i="65" s="1"/>
  <c r="L129" i="65" s="1"/>
  <c r="F128" i="65"/>
  <c r="I128" i="65" s="1"/>
  <c r="L128" i="65" s="1"/>
  <c r="F131" i="65"/>
  <c r="I131" i="65" s="1"/>
  <c r="L131" i="65" s="1"/>
  <c r="F159" i="65"/>
  <c r="I159" i="65" s="1"/>
  <c r="L159" i="65" s="1"/>
  <c r="F152" i="65"/>
  <c r="I152" i="65" s="1"/>
  <c r="L152" i="65" s="1"/>
  <c r="F136" i="65"/>
  <c r="I136" i="65" s="1"/>
  <c r="L136" i="65" s="1"/>
  <c r="F133" i="65"/>
  <c r="I133" i="65" s="1"/>
  <c r="L133" i="65" s="1"/>
  <c r="F160" i="40"/>
  <c r="I160" i="40" s="1"/>
  <c r="L160" i="40" s="1"/>
  <c r="F134" i="40"/>
  <c r="I134" i="40" s="1"/>
  <c r="L134" i="40" s="1"/>
  <c r="F128" i="40"/>
  <c r="I128" i="40" s="1"/>
  <c r="L128" i="40" s="1"/>
  <c r="F131" i="40"/>
  <c r="I131" i="40" s="1"/>
  <c r="L131" i="40" s="1"/>
  <c r="F148" i="40"/>
  <c r="I148" i="40" s="1"/>
  <c r="F151" i="40"/>
  <c r="I151" i="40" s="1"/>
  <c r="L151" i="40" s="1"/>
  <c r="F153" i="40"/>
  <c r="I153" i="40" s="1"/>
  <c r="L153" i="40" s="1"/>
  <c r="F149" i="40"/>
  <c r="I149" i="40" s="1"/>
  <c r="L149" i="40" s="1"/>
  <c r="F136" i="40"/>
  <c r="I136" i="40" s="1"/>
  <c r="L136" i="40" s="1"/>
  <c r="F157" i="40"/>
  <c r="I157" i="40" s="1"/>
  <c r="L157" i="40" s="1"/>
  <c r="F127" i="40"/>
  <c r="I127" i="40" s="1"/>
  <c r="L127" i="40" s="1"/>
  <c r="F154" i="40"/>
  <c r="I154" i="40" s="1"/>
  <c r="L154" i="40" s="1"/>
  <c r="F137" i="40"/>
  <c r="I137" i="40" s="1"/>
  <c r="F158" i="40"/>
  <c r="I158" i="40" s="1"/>
  <c r="F133" i="40"/>
  <c r="I133" i="40" s="1"/>
  <c r="L133" i="40" s="1"/>
  <c r="F155" i="40"/>
  <c r="I155" i="40" s="1"/>
  <c r="L155" i="40" s="1"/>
  <c r="F135" i="40"/>
  <c r="I135" i="40" s="1"/>
  <c r="L135" i="40" s="1"/>
  <c r="F138" i="40"/>
  <c r="I138" i="40" s="1"/>
  <c r="L138" i="40" s="1"/>
  <c r="F130" i="40"/>
  <c r="I130" i="40" s="1"/>
  <c r="L130" i="40" s="1"/>
  <c r="F132" i="40"/>
  <c r="I132" i="40" s="1"/>
  <c r="F150" i="40"/>
  <c r="I150" i="40" s="1"/>
  <c r="F139" i="40"/>
  <c r="I139" i="40" s="1"/>
  <c r="F159" i="40"/>
  <c r="I159" i="40" s="1"/>
  <c r="F152" i="40"/>
  <c r="I152" i="40" s="1"/>
  <c r="L152" i="40" s="1"/>
  <c r="F156" i="40"/>
  <c r="I156" i="40" s="1"/>
  <c r="L156" i="40" s="1"/>
  <c r="F129" i="40"/>
  <c r="I129" i="40" s="1"/>
  <c r="L129" i="40" s="1"/>
  <c r="F132" i="24"/>
  <c r="I132" i="24" s="1"/>
  <c r="L132" i="24" s="1"/>
  <c r="F136" i="24"/>
  <c r="I136" i="24" s="1"/>
  <c r="L136" i="24" s="1"/>
  <c r="F137" i="58"/>
  <c r="I137" i="58" s="1"/>
  <c r="L137" i="58" s="1"/>
  <c r="F158" i="58"/>
  <c r="I158" i="58" s="1"/>
  <c r="F150" i="58"/>
  <c r="F133" i="58"/>
  <c r="I133" i="58" s="1"/>
  <c r="L133" i="58" s="1"/>
  <c r="F156" i="58"/>
  <c r="I156" i="58" s="1"/>
  <c r="L156" i="58" s="1"/>
  <c r="F151" i="58"/>
  <c r="I151" i="58" s="1"/>
  <c r="L151" i="58" s="1"/>
  <c r="F132" i="58"/>
  <c r="I132" i="58" s="1"/>
  <c r="L132" i="58" s="1"/>
  <c r="F128" i="58"/>
  <c r="I128" i="58" s="1"/>
  <c r="L128" i="58" s="1"/>
  <c r="F131" i="58"/>
  <c r="I131" i="58" s="1"/>
  <c r="F153" i="58"/>
  <c r="I153" i="58" s="1"/>
  <c r="L153" i="58" s="1"/>
  <c r="F152" i="58"/>
  <c r="I152" i="58" s="1"/>
  <c r="L152" i="58" s="1"/>
  <c r="F139" i="58"/>
  <c r="I139" i="58" s="1"/>
  <c r="L139" i="58" s="1"/>
  <c r="F129" i="58"/>
  <c r="I129" i="58" s="1"/>
  <c r="L129" i="58" s="1"/>
  <c r="F157" i="58"/>
  <c r="I157" i="58" s="1"/>
  <c r="L157" i="58" s="1"/>
  <c r="F155" i="58"/>
  <c r="I155" i="58" s="1"/>
  <c r="L155" i="58" s="1"/>
  <c r="F138" i="58"/>
  <c r="I138" i="58" s="1"/>
  <c r="L138" i="58" s="1"/>
  <c r="F134" i="58"/>
  <c r="I134" i="58" s="1"/>
  <c r="L134" i="58" s="1"/>
  <c r="F130" i="58"/>
  <c r="I130" i="58" s="1"/>
  <c r="L130" i="58" s="1"/>
  <c r="F148" i="58"/>
  <c r="I148" i="58" s="1"/>
  <c r="L148" i="58" s="1"/>
  <c r="F149" i="58"/>
  <c r="I149" i="58" s="1"/>
  <c r="F135" i="58"/>
  <c r="I135" i="58" s="1"/>
  <c r="L135" i="58" s="1"/>
  <c r="F127" i="58"/>
  <c r="I127" i="58" s="1"/>
  <c r="L127" i="58" s="1"/>
  <c r="F154" i="58"/>
  <c r="I154" i="58" s="1"/>
  <c r="F136" i="58"/>
  <c r="I136" i="58" s="1"/>
  <c r="L136" i="58" s="1"/>
  <c r="F160" i="58"/>
  <c r="I160" i="58" s="1"/>
  <c r="L160" i="58" s="1"/>
  <c r="F159" i="58"/>
  <c r="I159" i="58" s="1"/>
  <c r="L159" i="58" s="1"/>
  <c r="I150" i="58"/>
  <c r="L150" i="58" s="1"/>
  <c r="F128" i="54"/>
  <c r="I128" i="54" s="1"/>
  <c r="L128" i="54" s="1"/>
  <c r="F157" i="54"/>
  <c r="I157" i="54" s="1"/>
  <c r="L157" i="54" s="1"/>
  <c r="F139" i="54"/>
  <c r="I139" i="54" s="1"/>
  <c r="L139" i="54" s="1"/>
  <c r="F136" i="54"/>
  <c r="I136" i="54" s="1"/>
  <c r="L136" i="54" s="1"/>
  <c r="F133" i="54"/>
  <c r="I133" i="54" s="1"/>
  <c r="L133" i="54" s="1"/>
  <c r="F152" i="54"/>
  <c r="I152" i="54" s="1"/>
  <c r="L152" i="54" s="1"/>
  <c r="F134" i="54"/>
  <c r="I134" i="54" s="1"/>
  <c r="L134" i="54" s="1"/>
  <c r="F156" i="54"/>
  <c r="I156" i="54" s="1"/>
  <c r="L156" i="54" s="1"/>
  <c r="F158" i="54"/>
  <c r="I158" i="54" s="1"/>
  <c r="L158" i="54" s="1"/>
  <c r="F132" i="54"/>
  <c r="I132" i="54" s="1"/>
  <c r="L132" i="54" s="1"/>
  <c r="F130" i="54"/>
  <c r="I130" i="54" s="1"/>
  <c r="F159" i="54"/>
  <c r="I159" i="54" s="1"/>
  <c r="L159" i="54" s="1"/>
  <c r="F138" i="54"/>
  <c r="I138" i="54" s="1"/>
  <c r="L138" i="54" s="1"/>
  <c r="F131" i="54"/>
  <c r="I131" i="54" s="1"/>
  <c r="L131" i="54" s="1"/>
  <c r="F154" i="54"/>
  <c r="I154" i="54" s="1"/>
  <c r="L154" i="54" s="1"/>
  <c r="F129" i="54"/>
  <c r="I129" i="54" s="1"/>
  <c r="L129" i="54" s="1"/>
  <c r="F150" i="54"/>
  <c r="I150" i="54" s="1"/>
  <c r="L150" i="54" s="1"/>
  <c r="F160" i="54"/>
  <c r="I160" i="54" s="1"/>
  <c r="L160" i="54" s="1"/>
  <c r="F149" i="54"/>
  <c r="I149" i="54" s="1"/>
  <c r="L149" i="54" s="1"/>
  <c r="F151" i="54"/>
  <c r="I151" i="54" s="1"/>
  <c r="L151" i="54" s="1"/>
  <c r="F148" i="54"/>
  <c r="I148" i="54" s="1"/>
  <c r="L148" i="54" s="1"/>
  <c r="F135" i="54"/>
  <c r="I135" i="54" s="1"/>
  <c r="L135" i="54" s="1"/>
  <c r="F127" i="54"/>
  <c r="I127" i="54" s="1"/>
  <c r="L127" i="54" s="1"/>
  <c r="F155" i="54"/>
  <c r="F153" i="54"/>
  <c r="I153" i="54" s="1"/>
  <c r="L153" i="54" s="1"/>
  <c r="F137" i="54"/>
  <c r="I137" i="54" s="1"/>
  <c r="L137" i="54" s="1"/>
  <c r="F137" i="49"/>
  <c r="I137" i="49" s="1"/>
  <c r="L137" i="49" s="1"/>
  <c r="F138" i="49"/>
  <c r="I138" i="49" s="1"/>
  <c r="L138" i="49" s="1"/>
  <c r="F129" i="49"/>
  <c r="I129" i="49" s="1"/>
  <c r="L129" i="49" s="1"/>
  <c r="F131" i="49"/>
  <c r="I131" i="49" s="1"/>
  <c r="L131" i="49" s="1"/>
  <c r="F151" i="49"/>
  <c r="I151" i="49" s="1"/>
  <c r="F134" i="49"/>
  <c r="I134" i="49" s="1"/>
  <c r="L134" i="49" s="1"/>
  <c r="F156" i="49"/>
  <c r="I156" i="49" s="1"/>
  <c r="L156" i="49" s="1"/>
  <c r="F155" i="49"/>
  <c r="I155" i="49" s="1"/>
  <c r="L155" i="49" s="1"/>
  <c r="F148" i="49"/>
  <c r="I148" i="49" s="1"/>
  <c r="F132" i="49"/>
  <c r="I132" i="49" s="1"/>
  <c r="L132" i="49" s="1"/>
  <c r="F159" i="49"/>
  <c r="I159" i="49" s="1"/>
  <c r="L159" i="49" s="1"/>
  <c r="F152" i="49"/>
  <c r="I152" i="49" s="1"/>
  <c r="L152" i="49" s="1"/>
  <c r="F136" i="49"/>
  <c r="I136" i="49" s="1"/>
  <c r="F127" i="49"/>
  <c r="I127" i="49" s="1"/>
  <c r="L127" i="49" s="1"/>
  <c r="F128" i="49"/>
  <c r="I128" i="49" s="1"/>
  <c r="L128" i="49" s="1"/>
  <c r="F150" i="49"/>
  <c r="I150" i="49" s="1"/>
  <c r="L150" i="49" s="1"/>
  <c r="F154" i="49"/>
  <c r="I154" i="49" s="1"/>
  <c r="L154" i="49" s="1"/>
  <c r="F130" i="49"/>
  <c r="I130" i="49" s="1"/>
  <c r="L130" i="49" s="1"/>
  <c r="F158" i="49"/>
  <c r="I158" i="49" s="1"/>
  <c r="L158" i="49" s="1"/>
  <c r="F135" i="49"/>
  <c r="I135" i="49" s="1"/>
  <c r="L135" i="49" s="1"/>
  <c r="F149" i="49"/>
  <c r="I149" i="49" s="1"/>
  <c r="L149" i="49" s="1"/>
  <c r="F139" i="49"/>
  <c r="I139" i="49" s="1"/>
  <c r="L139" i="49" s="1"/>
  <c r="F153" i="49"/>
  <c r="I153" i="49" s="1"/>
  <c r="L153" i="49" s="1"/>
  <c r="F160" i="49"/>
  <c r="I160" i="49" s="1"/>
  <c r="L160" i="49" s="1"/>
  <c r="F157" i="49"/>
  <c r="I157" i="49" s="1"/>
  <c r="L157" i="49" s="1"/>
  <c r="F133" i="49"/>
  <c r="I133" i="49" s="1"/>
  <c r="L133" i="49" s="1"/>
  <c r="F159" i="53"/>
  <c r="I159" i="53" s="1"/>
  <c r="L159" i="53" s="1"/>
  <c r="F149" i="53"/>
  <c r="I149" i="53" s="1"/>
  <c r="L149" i="53" s="1"/>
  <c r="F154" i="53"/>
  <c r="I154" i="53" s="1"/>
  <c r="L154" i="53" s="1"/>
  <c r="F128" i="53"/>
  <c r="I128" i="53" s="1"/>
  <c r="L128" i="53" s="1"/>
  <c r="F153" i="53"/>
  <c r="I153" i="53" s="1"/>
  <c r="L153" i="53" s="1"/>
  <c r="F158" i="53"/>
  <c r="I158" i="53" s="1"/>
  <c r="L158" i="53" s="1"/>
  <c r="F132" i="53"/>
  <c r="I132" i="53" s="1"/>
  <c r="F157" i="53"/>
  <c r="I157" i="53" s="1"/>
  <c r="L157" i="53" s="1"/>
  <c r="F136" i="53"/>
  <c r="I136" i="53" s="1"/>
  <c r="L136" i="53" s="1"/>
  <c r="F127" i="53"/>
  <c r="I127" i="53" s="1"/>
  <c r="L127" i="53" s="1"/>
  <c r="F148" i="53"/>
  <c r="I148" i="53" s="1"/>
  <c r="L148" i="53" s="1"/>
  <c r="F131" i="53"/>
  <c r="I131" i="53" s="1"/>
  <c r="L131" i="53" s="1"/>
  <c r="F152" i="53"/>
  <c r="I152" i="53" s="1"/>
  <c r="L152" i="53" s="1"/>
  <c r="F135" i="53"/>
  <c r="I135" i="53" s="1"/>
  <c r="L135" i="53" s="1"/>
  <c r="F156" i="53"/>
  <c r="I156" i="53" s="1"/>
  <c r="F139" i="53"/>
  <c r="I139" i="53" s="1"/>
  <c r="L139" i="53" s="1"/>
  <c r="F160" i="53"/>
  <c r="I160" i="53" s="1"/>
  <c r="L160" i="53" s="1"/>
  <c r="F151" i="53"/>
  <c r="I151" i="53" s="1"/>
  <c r="L151" i="53" s="1"/>
  <c r="F155" i="53"/>
  <c r="I155" i="53" s="1"/>
  <c r="L155" i="53" s="1"/>
  <c r="F130" i="53"/>
  <c r="I130" i="53" s="1"/>
  <c r="L130" i="53" s="1"/>
  <c r="F129" i="53"/>
  <c r="I129" i="53" s="1"/>
  <c r="L129" i="53" s="1"/>
  <c r="F134" i="53"/>
  <c r="I134" i="53" s="1"/>
  <c r="F133" i="53"/>
  <c r="I133" i="53" s="1"/>
  <c r="L133" i="53" s="1"/>
  <c r="F138" i="53"/>
  <c r="I138" i="53" s="1"/>
  <c r="F137" i="53"/>
  <c r="I137" i="53" s="1"/>
  <c r="L137" i="53" s="1"/>
  <c r="F150" i="53"/>
  <c r="I150" i="53" s="1"/>
  <c r="L150" i="53" s="1"/>
  <c r="F148" i="18"/>
  <c r="I148" i="18" s="1"/>
  <c r="L148" i="18" s="1"/>
  <c r="F155" i="18"/>
  <c r="F129" i="45"/>
  <c r="I129" i="45" s="1"/>
  <c r="L129" i="45" s="1"/>
  <c r="F149" i="45"/>
  <c r="I149" i="45" s="1"/>
  <c r="L149" i="45" s="1"/>
  <c r="F134" i="45"/>
  <c r="I134" i="45" s="1"/>
  <c r="L134" i="45" s="1"/>
  <c r="F153" i="45"/>
  <c r="I153" i="45" s="1"/>
  <c r="F138" i="45"/>
  <c r="I138" i="45" s="1"/>
  <c r="L138" i="45" s="1"/>
  <c r="F157" i="45"/>
  <c r="I157" i="45" s="1"/>
  <c r="L157" i="45" s="1"/>
  <c r="F150" i="45"/>
  <c r="I150" i="45" s="1"/>
  <c r="L150" i="45" s="1"/>
  <c r="F158" i="45"/>
  <c r="I158" i="45" s="1"/>
  <c r="L158" i="45" s="1"/>
  <c r="F154" i="45"/>
  <c r="I154" i="45" s="1"/>
  <c r="L154" i="45" s="1"/>
  <c r="F130" i="45"/>
  <c r="I130" i="45" s="1"/>
  <c r="L130" i="45" s="1"/>
  <c r="F131" i="45"/>
  <c r="I131" i="45" s="1"/>
  <c r="L131" i="45" s="1"/>
  <c r="F127" i="45"/>
  <c r="I127" i="45" s="1"/>
  <c r="L127" i="45" s="1"/>
  <c r="F135" i="45"/>
  <c r="I135" i="45" s="1"/>
  <c r="F136" i="45"/>
  <c r="I136" i="45" s="1"/>
  <c r="F139" i="45"/>
  <c r="I139" i="45" s="1"/>
  <c r="L139" i="45" s="1"/>
  <c r="F132" i="45"/>
  <c r="I132" i="45" s="1"/>
  <c r="L132" i="45" s="1"/>
  <c r="F152" i="45"/>
  <c r="I152" i="45" s="1"/>
  <c r="L152" i="45" s="1"/>
  <c r="F151" i="45"/>
  <c r="I151" i="45" s="1"/>
  <c r="F148" i="45"/>
  <c r="I148" i="45" s="1"/>
  <c r="L148" i="45" s="1"/>
  <c r="F160" i="45"/>
  <c r="I160" i="45" s="1"/>
  <c r="L160" i="45" s="1"/>
  <c r="F155" i="45"/>
  <c r="I155" i="45" s="1"/>
  <c r="L155" i="45" s="1"/>
  <c r="F156" i="45"/>
  <c r="I156" i="45" s="1"/>
  <c r="L156" i="45" s="1"/>
  <c r="F128" i="45"/>
  <c r="I128" i="45" s="1"/>
  <c r="L128" i="45" s="1"/>
  <c r="F159" i="45"/>
  <c r="I159" i="45" s="1"/>
  <c r="L159" i="45" s="1"/>
  <c r="F137" i="45"/>
  <c r="I137" i="45" s="1"/>
  <c r="F133" i="45"/>
  <c r="I133" i="45" s="1"/>
  <c r="L133" i="45" s="1"/>
  <c r="F129" i="36"/>
  <c r="I129" i="36" s="1"/>
  <c r="F128" i="36"/>
  <c r="I128" i="36" s="1"/>
  <c r="F137" i="36"/>
  <c r="I137" i="36" s="1"/>
  <c r="L137" i="36" s="1"/>
  <c r="F131" i="36"/>
  <c r="I131" i="36" s="1"/>
  <c r="L131" i="36" s="1"/>
  <c r="F150" i="36"/>
  <c r="I150" i="36" s="1"/>
  <c r="L150" i="36" s="1"/>
  <c r="F139" i="36"/>
  <c r="I139" i="36" s="1"/>
  <c r="L139" i="36" s="1"/>
  <c r="F155" i="36"/>
  <c r="I155" i="36" s="1"/>
  <c r="L155" i="36" s="1"/>
  <c r="F151" i="36"/>
  <c r="I151" i="36" s="1"/>
  <c r="L151" i="36" s="1"/>
  <c r="F159" i="36"/>
  <c r="I159" i="36" s="1"/>
  <c r="F156" i="36"/>
  <c r="I156" i="36" s="1"/>
  <c r="L156" i="36" s="1"/>
  <c r="F130" i="36"/>
  <c r="I130" i="36" s="1"/>
  <c r="L130" i="36" s="1"/>
  <c r="F160" i="36"/>
  <c r="I160" i="36" s="1"/>
  <c r="L160" i="36" s="1"/>
  <c r="F153" i="36"/>
  <c r="I153" i="36" s="1"/>
  <c r="L153" i="36" s="1"/>
  <c r="F138" i="36"/>
  <c r="I138" i="36" s="1"/>
  <c r="L138" i="36" s="1"/>
  <c r="F132" i="36"/>
  <c r="I132" i="36" s="1"/>
  <c r="F157" i="36"/>
  <c r="I157" i="36" s="1"/>
  <c r="L157" i="36" s="1"/>
  <c r="F148" i="36"/>
  <c r="I148" i="36" s="1"/>
  <c r="L148" i="36" s="1"/>
  <c r="F152" i="36"/>
  <c r="I152" i="36" s="1"/>
  <c r="L152" i="36" s="1"/>
  <c r="F134" i="36"/>
  <c r="I134" i="36" s="1"/>
  <c r="L134" i="36" s="1"/>
  <c r="F133" i="36"/>
  <c r="I133" i="36" s="1"/>
  <c r="L133" i="36" s="1"/>
  <c r="F149" i="36"/>
  <c r="I149" i="36" s="1"/>
  <c r="L149" i="36" s="1"/>
  <c r="F127" i="36"/>
  <c r="I127" i="36" s="1"/>
  <c r="L127" i="36" s="1"/>
  <c r="F158" i="36"/>
  <c r="I158" i="36" s="1"/>
  <c r="L158" i="36" s="1"/>
  <c r="F135" i="36"/>
  <c r="I135" i="36" s="1"/>
  <c r="F136" i="36"/>
  <c r="I136" i="36" s="1"/>
  <c r="L136" i="36" s="1"/>
  <c r="F154" i="36"/>
  <c r="I154" i="36" s="1"/>
  <c r="L154" i="36" s="1"/>
  <c r="F151" i="56"/>
  <c r="I151" i="56" s="1"/>
  <c r="L151" i="56" s="1"/>
  <c r="F157" i="56"/>
  <c r="I157" i="56" s="1"/>
  <c r="L157" i="56" s="1"/>
  <c r="F159" i="56"/>
  <c r="I159" i="56" s="1"/>
  <c r="L159" i="56" s="1"/>
  <c r="F149" i="56"/>
  <c r="I149" i="56" s="1"/>
  <c r="L149" i="56" s="1"/>
  <c r="F135" i="56"/>
  <c r="I135" i="56" s="1"/>
  <c r="F133" i="56"/>
  <c r="I133" i="56" s="1"/>
  <c r="F152" i="56"/>
  <c r="I152" i="56" s="1"/>
  <c r="L152" i="56" s="1"/>
  <c r="F156" i="56"/>
  <c r="I156" i="56" s="1"/>
  <c r="L156" i="56" s="1"/>
  <c r="F150" i="56"/>
  <c r="I150" i="56" s="1"/>
  <c r="L150" i="56" s="1"/>
  <c r="F130" i="56"/>
  <c r="I130" i="56" s="1"/>
  <c r="L130" i="56" s="1"/>
  <c r="F131" i="56"/>
  <c r="I131" i="56" s="1"/>
  <c r="L131" i="56" s="1"/>
  <c r="F154" i="56"/>
  <c r="I154" i="56" s="1"/>
  <c r="F148" i="56"/>
  <c r="I148" i="56" s="1"/>
  <c r="L148" i="56" s="1"/>
  <c r="F132" i="56"/>
  <c r="I132" i="56" s="1"/>
  <c r="L132" i="56" s="1"/>
  <c r="F158" i="56"/>
  <c r="I158" i="56" s="1"/>
  <c r="F153" i="56"/>
  <c r="I153" i="56" s="1"/>
  <c r="L153" i="56" s="1"/>
  <c r="F127" i="56"/>
  <c r="I127" i="56" s="1"/>
  <c r="L127" i="56" s="1"/>
  <c r="F129" i="56"/>
  <c r="I129" i="56" s="1"/>
  <c r="L129" i="56" s="1"/>
  <c r="F128" i="56"/>
  <c r="I128" i="56" s="1"/>
  <c r="L128" i="56" s="1"/>
  <c r="F137" i="56"/>
  <c r="I137" i="56" s="1"/>
  <c r="F136" i="56"/>
  <c r="I136" i="56" s="1"/>
  <c r="L136" i="56" s="1"/>
  <c r="F155" i="56"/>
  <c r="I155" i="56" s="1"/>
  <c r="L155" i="56" s="1"/>
  <c r="F139" i="56"/>
  <c r="I139" i="56" s="1"/>
  <c r="L139" i="56" s="1"/>
  <c r="F160" i="56"/>
  <c r="I160" i="56" s="1"/>
  <c r="L160" i="56" s="1"/>
  <c r="F134" i="56"/>
  <c r="I134" i="56" s="1"/>
  <c r="L134" i="56" s="1"/>
  <c r="F138" i="56"/>
  <c r="I138" i="56" s="1"/>
  <c r="L138" i="56" s="1"/>
  <c r="F151" i="32"/>
  <c r="I151" i="32" s="1"/>
  <c r="L151" i="32" s="1"/>
  <c r="F160" i="32"/>
  <c r="I160" i="32" s="1"/>
  <c r="L160" i="32" s="1"/>
  <c r="F130" i="32"/>
  <c r="I130" i="32" s="1"/>
  <c r="L130" i="32" s="1"/>
  <c r="F131" i="32"/>
  <c r="I131" i="32" s="1"/>
  <c r="L131" i="32" s="1"/>
  <c r="F135" i="32"/>
  <c r="I135" i="32" s="1"/>
  <c r="L135" i="32" s="1"/>
  <c r="F148" i="32"/>
  <c r="I148" i="32" s="1"/>
  <c r="L148" i="32" s="1"/>
  <c r="F149" i="32"/>
  <c r="I149" i="32" s="1"/>
  <c r="L149" i="32" s="1"/>
  <c r="F158" i="32"/>
  <c r="I158" i="32" s="1"/>
  <c r="L158" i="32" s="1"/>
  <c r="F157" i="32"/>
  <c r="I157" i="32" s="1"/>
  <c r="L157" i="32" s="1"/>
  <c r="F137" i="32"/>
  <c r="I137" i="32" s="1"/>
  <c r="L137" i="32" s="1"/>
  <c r="F132" i="32"/>
  <c r="I132" i="32" s="1"/>
  <c r="L132" i="32" s="1"/>
  <c r="F159" i="32"/>
  <c r="I159" i="32" s="1"/>
  <c r="F153" i="32"/>
  <c r="I153" i="32" s="1"/>
  <c r="L153" i="32" s="1"/>
  <c r="F128" i="32"/>
  <c r="I128" i="32" s="1"/>
  <c r="L128" i="32" s="1"/>
  <c r="F133" i="32"/>
  <c r="I133" i="32" s="1"/>
  <c r="L133" i="32" s="1"/>
  <c r="F129" i="32"/>
  <c r="I129" i="32" s="1"/>
  <c r="L129" i="32" s="1"/>
  <c r="F155" i="32"/>
  <c r="I155" i="32" s="1"/>
  <c r="L155" i="32" s="1"/>
  <c r="F150" i="32"/>
  <c r="I150" i="32" s="1"/>
  <c r="L150" i="32" s="1"/>
  <c r="F156" i="32"/>
  <c r="I156" i="32" s="1"/>
  <c r="L156" i="32" s="1"/>
  <c r="F136" i="32"/>
  <c r="I136" i="32" s="1"/>
  <c r="L136" i="32" s="1"/>
  <c r="F127" i="32"/>
  <c r="I127" i="32" s="1"/>
  <c r="L127" i="32" s="1"/>
  <c r="F138" i="32"/>
  <c r="I138" i="32" s="1"/>
  <c r="L138" i="32" s="1"/>
  <c r="F152" i="32"/>
  <c r="I152" i="32" s="1"/>
  <c r="L152" i="32" s="1"/>
  <c r="F139" i="32"/>
  <c r="I139" i="32" s="1"/>
  <c r="L139" i="32" s="1"/>
  <c r="F154" i="32"/>
  <c r="I154" i="32" s="1"/>
  <c r="L154" i="32" s="1"/>
  <c r="F134" i="32"/>
  <c r="I134" i="32" s="1"/>
  <c r="L134" i="32" s="1"/>
  <c r="F128" i="26"/>
  <c r="I128" i="26" s="1"/>
  <c r="L128" i="26" s="1"/>
  <c r="F149" i="26"/>
  <c r="I149" i="26" s="1"/>
  <c r="L149" i="26" s="1"/>
  <c r="F158" i="26"/>
  <c r="I158" i="26" s="1"/>
  <c r="L158" i="26" s="1"/>
  <c r="F136" i="26"/>
  <c r="I136" i="26" s="1"/>
  <c r="L136" i="26" s="1"/>
  <c r="F148" i="26"/>
  <c r="I148" i="26" s="1"/>
  <c r="L148" i="26" s="1"/>
  <c r="F150" i="26"/>
  <c r="I150" i="26" s="1"/>
  <c r="L150" i="26" s="1"/>
  <c r="F129" i="26"/>
  <c r="I129" i="26" s="1"/>
  <c r="L129" i="26" s="1"/>
  <c r="F127" i="26"/>
  <c r="I127" i="26" s="1"/>
  <c r="L127" i="26" s="1"/>
  <c r="F135" i="26"/>
  <c r="I135" i="26" s="1"/>
  <c r="L135" i="26" s="1"/>
  <c r="F153" i="26"/>
  <c r="I153" i="26" s="1"/>
  <c r="L153" i="26" s="1"/>
  <c r="F133" i="26"/>
  <c r="I133" i="26" s="1"/>
  <c r="L133" i="26" s="1"/>
  <c r="F138" i="26"/>
  <c r="F151" i="26"/>
  <c r="I151" i="26" s="1"/>
  <c r="L151" i="26" s="1"/>
  <c r="F131" i="26"/>
  <c r="I131" i="26" s="1"/>
  <c r="L131" i="26" s="1"/>
  <c r="F132" i="26"/>
  <c r="I132" i="26" s="1"/>
  <c r="L132" i="26" s="1"/>
  <c r="F159" i="26"/>
  <c r="F160" i="26"/>
  <c r="I160" i="26" s="1"/>
  <c r="L160" i="26" s="1"/>
  <c r="F152" i="26"/>
  <c r="I152" i="26" s="1"/>
  <c r="L152" i="26" s="1"/>
  <c r="F157" i="26"/>
  <c r="I157" i="26" s="1"/>
  <c r="L157" i="26" s="1"/>
  <c r="F137" i="26"/>
  <c r="I137" i="26" s="1"/>
  <c r="L137" i="26" s="1"/>
  <c r="F154" i="26"/>
  <c r="I154" i="26" s="1"/>
  <c r="L154" i="26" s="1"/>
  <c r="F134" i="26"/>
  <c r="I134" i="26" s="1"/>
  <c r="L134" i="26" s="1"/>
  <c r="F155" i="26"/>
  <c r="I155" i="26" s="1"/>
  <c r="L155" i="26" s="1"/>
  <c r="F139" i="26"/>
  <c r="I139" i="26" s="1"/>
  <c r="L139" i="26" s="1"/>
  <c r="F156" i="26"/>
  <c r="I156" i="26" s="1"/>
  <c r="L156" i="26" s="1"/>
  <c r="F130" i="26"/>
  <c r="I130" i="26" s="1"/>
  <c r="L130" i="26" s="1"/>
  <c r="F135" i="44"/>
  <c r="I135" i="44" s="1"/>
  <c r="L135" i="44" s="1"/>
  <c r="F155" i="44"/>
  <c r="I155" i="44" s="1"/>
  <c r="L155" i="44" s="1"/>
  <c r="F154" i="44"/>
  <c r="I154" i="44" s="1"/>
  <c r="L154" i="44" s="1"/>
  <c r="F159" i="44"/>
  <c r="I159" i="44" s="1"/>
  <c r="L159" i="44" s="1"/>
  <c r="F129" i="44"/>
  <c r="I129" i="44" s="1"/>
  <c r="L129" i="44" s="1"/>
  <c r="F158" i="44"/>
  <c r="I158" i="44" s="1"/>
  <c r="F128" i="44"/>
  <c r="I128" i="44" s="1"/>
  <c r="L128" i="44" s="1"/>
  <c r="F133" i="44"/>
  <c r="I133" i="44" s="1"/>
  <c r="L133" i="44" s="1"/>
  <c r="F132" i="44"/>
  <c r="I132" i="44" s="1"/>
  <c r="F137" i="44"/>
  <c r="I137" i="44" s="1"/>
  <c r="L137" i="44" s="1"/>
  <c r="F136" i="44"/>
  <c r="I136" i="44" s="1"/>
  <c r="L136" i="44" s="1"/>
  <c r="F149" i="44"/>
  <c r="I149" i="44" s="1"/>
  <c r="L149" i="44" s="1"/>
  <c r="F148" i="44"/>
  <c r="I148" i="44" s="1"/>
  <c r="L148" i="44" s="1"/>
  <c r="F153" i="44"/>
  <c r="I153" i="44" s="1"/>
  <c r="L153" i="44" s="1"/>
  <c r="F152" i="44"/>
  <c r="I152" i="44" s="1"/>
  <c r="L152" i="44" s="1"/>
  <c r="F157" i="44"/>
  <c r="I157" i="44" s="1"/>
  <c r="L157" i="44" s="1"/>
  <c r="F156" i="44"/>
  <c r="I156" i="44" s="1"/>
  <c r="L156" i="44" s="1"/>
  <c r="F160" i="44"/>
  <c r="I160" i="44" s="1"/>
  <c r="L160" i="44" s="1"/>
  <c r="F130" i="44"/>
  <c r="I130" i="44" s="1"/>
  <c r="L130" i="44" s="1"/>
  <c r="F131" i="44"/>
  <c r="I131" i="44" s="1"/>
  <c r="L131" i="44" s="1"/>
  <c r="F134" i="44"/>
  <c r="I134" i="44" s="1"/>
  <c r="L134" i="44" s="1"/>
  <c r="F139" i="44"/>
  <c r="I139" i="44" s="1"/>
  <c r="L139" i="44" s="1"/>
  <c r="F138" i="44"/>
  <c r="I138" i="44" s="1"/>
  <c r="L138" i="44" s="1"/>
  <c r="F127" i="44"/>
  <c r="I127" i="44" s="1"/>
  <c r="L127" i="44" s="1"/>
  <c r="F151" i="44"/>
  <c r="I151" i="44" s="1"/>
  <c r="F150" i="44"/>
  <c r="I150" i="44" s="1"/>
  <c r="L150" i="44" s="1"/>
  <c r="F134" i="19"/>
  <c r="F149" i="19"/>
  <c r="F150" i="19"/>
  <c r="I150" i="19" s="1"/>
  <c r="L150" i="19" s="1"/>
  <c r="F137" i="19"/>
  <c r="I137" i="19" s="1"/>
  <c r="L137" i="19" s="1"/>
  <c r="F127" i="19"/>
  <c r="I127" i="19" s="1"/>
  <c r="L127" i="19" s="1"/>
  <c r="F138" i="19"/>
  <c r="I138" i="19" s="1"/>
  <c r="L138" i="19" s="1"/>
  <c r="F151" i="19"/>
  <c r="I151" i="19" s="1"/>
  <c r="L151" i="19" s="1"/>
  <c r="F129" i="19"/>
  <c r="I129" i="19" s="1"/>
  <c r="L129" i="19" s="1"/>
  <c r="F156" i="19"/>
  <c r="F148" i="19"/>
  <c r="I148" i="19" s="1"/>
  <c r="L148" i="19" s="1"/>
  <c r="F139" i="19"/>
  <c r="F135" i="19"/>
  <c r="I135" i="19" s="1"/>
  <c r="L135" i="19" s="1"/>
  <c r="F131" i="19"/>
  <c r="I131" i="19" s="1"/>
  <c r="L131" i="19" s="1"/>
  <c r="F136" i="19"/>
  <c r="I136" i="19" s="1"/>
  <c r="L136" i="19" s="1"/>
  <c r="F130" i="19"/>
  <c r="I130" i="19" s="1"/>
  <c r="L130" i="19" s="1"/>
  <c r="F133" i="19"/>
  <c r="I133" i="19" s="1"/>
  <c r="L133" i="19" s="1"/>
  <c r="F158" i="19"/>
  <c r="F159" i="19"/>
  <c r="I159" i="19" s="1"/>
  <c r="L159" i="19" s="1"/>
  <c r="F155" i="19"/>
  <c r="I155" i="19" s="1"/>
  <c r="L155" i="19" s="1"/>
  <c r="F153" i="19"/>
  <c r="I153" i="19" s="1"/>
  <c r="L153" i="19" s="1"/>
  <c r="F157" i="19"/>
  <c r="I157" i="19" s="1"/>
  <c r="L157" i="19" s="1"/>
  <c r="F152" i="19"/>
  <c r="I152" i="19" s="1"/>
  <c r="L152" i="19" s="1"/>
  <c r="F160" i="19"/>
  <c r="I160" i="19" s="1"/>
  <c r="L160" i="19" s="1"/>
  <c r="K67" i="19"/>
  <c r="F128" i="19"/>
  <c r="F132" i="19"/>
  <c r="F154" i="19"/>
  <c r="I154" i="19" s="1"/>
  <c r="L154" i="19" s="1"/>
  <c r="F159" i="30"/>
  <c r="I159" i="30" s="1"/>
  <c r="L159" i="30" s="1"/>
  <c r="F153" i="30"/>
  <c r="I153" i="30" s="1"/>
  <c r="L153" i="30" s="1"/>
  <c r="F133" i="30"/>
  <c r="I133" i="30" s="1"/>
  <c r="L133" i="30" s="1"/>
  <c r="F128" i="30"/>
  <c r="I128" i="30" s="1"/>
  <c r="L128" i="30" s="1"/>
  <c r="F157" i="30"/>
  <c r="I157" i="30" s="1"/>
  <c r="L157" i="30" s="1"/>
  <c r="F132" i="30"/>
  <c r="I132" i="30" s="1"/>
  <c r="L132" i="30" s="1"/>
  <c r="F136" i="30"/>
  <c r="I136" i="30" s="1"/>
  <c r="L136" i="30" s="1"/>
  <c r="F130" i="30"/>
  <c r="I130" i="30" s="1"/>
  <c r="L130" i="30" s="1"/>
  <c r="F129" i="30"/>
  <c r="I129" i="30" s="1"/>
  <c r="L129" i="30" s="1"/>
  <c r="F137" i="30"/>
  <c r="I137" i="30" s="1"/>
  <c r="L137" i="30" s="1"/>
  <c r="F148" i="30"/>
  <c r="I148" i="30" s="1"/>
  <c r="L148" i="30" s="1"/>
  <c r="F134" i="30"/>
  <c r="I134" i="30" s="1"/>
  <c r="L134" i="30" s="1"/>
  <c r="F139" i="30"/>
  <c r="I139" i="30" s="1"/>
  <c r="L139" i="30" s="1"/>
  <c r="F154" i="30"/>
  <c r="I154" i="30" s="1"/>
  <c r="L154" i="30" s="1"/>
  <c r="F152" i="30"/>
  <c r="I152" i="30" s="1"/>
  <c r="F138" i="30"/>
  <c r="I138" i="30" s="1"/>
  <c r="L138" i="30" s="1"/>
  <c r="F127" i="30"/>
  <c r="I127" i="30" s="1"/>
  <c r="L127" i="30" s="1"/>
  <c r="F156" i="30"/>
  <c r="I156" i="30" s="1"/>
  <c r="L156" i="30" s="1"/>
  <c r="F150" i="30"/>
  <c r="I150" i="30" s="1"/>
  <c r="L150" i="30" s="1"/>
  <c r="F151" i="30"/>
  <c r="I151" i="30" s="1"/>
  <c r="L151" i="30" s="1"/>
  <c r="F131" i="30"/>
  <c r="I131" i="30" s="1"/>
  <c r="L131" i="30" s="1"/>
  <c r="F160" i="30"/>
  <c r="I160" i="30" s="1"/>
  <c r="L160" i="30" s="1"/>
  <c r="F158" i="30"/>
  <c r="I158" i="30" s="1"/>
  <c r="L158" i="30" s="1"/>
  <c r="F135" i="30"/>
  <c r="I135" i="30" s="1"/>
  <c r="L135" i="30" s="1"/>
  <c r="F155" i="30"/>
  <c r="I155" i="30" s="1"/>
  <c r="L155" i="30" s="1"/>
  <c r="F149" i="30"/>
  <c r="I149" i="30" s="1"/>
  <c r="L149" i="30" s="1"/>
  <c r="F150" i="55"/>
  <c r="I150" i="55" s="1"/>
  <c r="L150" i="55" s="1"/>
  <c r="F159" i="55"/>
  <c r="I159" i="55" s="1"/>
  <c r="F156" i="55"/>
  <c r="I156" i="55" s="1"/>
  <c r="L156" i="55" s="1"/>
  <c r="F151" i="55"/>
  <c r="I151" i="55" s="1"/>
  <c r="L151" i="55" s="1"/>
  <c r="F130" i="55"/>
  <c r="I130" i="55" s="1"/>
  <c r="L130" i="55" s="1"/>
  <c r="F137" i="55"/>
  <c r="I137" i="55" s="1"/>
  <c r="F158" i="55"/>
  <c r="I158" i="55" s="1"/>
  <c r="L158" i="55" s="1"/>
  <c r="F154" i="55"/>
  <c r="I154" i="55" s="1"/>
  <c r="F133" i="55"/>
  <c r="I133" i="55" s="1"/>
  <c r="F160" i="55"/>
  <c r="I160" i="55" s="1"/>
  <c r="L160" i="55" s="1"/>
  <c r="F152" i="55"/>
  <c r="I152" i="55" s="1"/>
  <c r="L152" i="55" s="1"/>
  <c r="F138" i="55"/>
  <c r="I138" i="55" s="1"/>
  <c r="L138" i="55" s="1"/>
  <c r="F128" i="55"/>
  <c r="I128" i="55" s="1"/>
  <c r="L128" i="55" s="1"/>
  <c r="F131" i="55"/>
  <c r="I131" i="55" s="1"/>
  <c r="L131" i="55" s="1"/>
  <c r="F129" i="55"/>
  <c r="I129" i="55" s="1"/>
  <c r="L129" i="55" s="1"/>
  <c r="F148" i="55"/>
  <c r="I148" i="55" s="1"/>
  <c r="L148" i="55" s="1"/>
  <c r="F135" i="55"/>
  <c r="I135" i="55" s="1"/>
  <c r="L135" i="55" s="1"/>
  <c r="F139" i="55"/>
  <c r="I139" i="55" s="1"/>
  <c r="L139" i="55" s="1"/>
  <c r="F155" i="55"/>
  <c r="I155" i="55" s="1"/>
  <c r="F153" i="55"/>
  <c r="I153" i="55" s="1"/>
  <c r="F127" i="55"/>
  <c r="I127" i="55" s="1"/>
  <c r="L127" i="55" s="1"/>
  <c r="F157" i="55"/>
  <c r="I157" i="55" s="1"/>
  <c r="L157" i="55" s="1"/>
  <c r="F149" i="55"/>
  <c r="I149" i="55" s="1"/>
  <c r="F134" i="55"/>
  <c r="I134" i="55" s="1"/>
  <c r="L134" i="55" s="1"/>
  <c r="F132" i="55"/>
  <c r="I132" i="55" s="1"/>
  <c r="F136" i="55"/>
  <c r="I136" i="55" s="1"/>
  <c r="L136" i="55" s="1"/>
  <c r="F149" i="59"/>
  <c r="I149" i="59" s="1"/>
  <c r="F138" i="59"/>
  <c r="I138" i="59" s="1"/>
  <c r="L138" i="59" s="1"/>
  <c r="F127" i="59"/>
  <c r="I127" i="59" s="1"/>
  <c r="L127" i="59" s="1"/>
  <c r="F153" i="59"/>
  <c r="I153" i="59" s="1"/>
  <c r="L153" i="59" s="1"/>
  <c r="F150" i="59"/>
  <c r="I150" i="59" s="1"/>
  <c r="L150" i="59" s="1"/>
  <c r="F135" i="59"/>
  <c r="I135" i="59" s="1"/>
  <c r="L135" i="59" s="1"/>
  <c r="F157" i="59"/>
  <c r="I157" i="59" s="1"/>
  <c r="L157" i="59" s="1"/>
  <c r="F154" i="59"/>
  <c r="I154" i="59" s="1"/>
  <c r="F139" i="59"/>
  <c r="I139" i="59" s="1"/>
  <c r="L139" i="59" s="1"/>
  <c r="F158" i="59"/>
  <c r="I158" i="59" s="1"/>
  <c r="L158" i="59" s="1"/>
  <c r="F155" i="59"/>
  <c r="I155" i="59" s="1"/>
  <c r="F131" i="59"/>
  <c r="I131" i="59" s="1"/>
  <c r="L131" i="59" s="1"/>
  <c r="F132" i="59"/>
  <c r="I132" i="59" s="1"/>
  <c r="L132" i="59" s="1"/>
  <c r="F151" i="59"/>
  <c r="I151" i="59" s="1"/>
  <c r="L151" i="59" s="1"/>
  <c r="F148" i="59"/>
  <c r="I148" i="59" s="1"/>
  <c r="L148" i="59" s="1"/>
  <c r="F159" i="59"/>
  <c r="I159" i="59" s="1"/>
  <c r="L159" i="59" s="1"/>
  <c r="F152" i="59"/>
  <c r="I152" i="59" s="1"/>
  <c r="L152" i="59" s="1"/>
  <c r="F128" i="59"/>
  <c r="I128" i="59" s="1"/>
  <c r="L128" i="59" s="1"/>
  <c r="F160" i="59"/>
  <c r="I160" i="59" s="1"/>
  <c r="L160" i="59" s="1"/>
  <c r="F136" i="59"/>
  <c r="I136" i="59" s="1"/>
  <c r="L136" i="59" s="1"/>
  <c r="F129" i="59"/>
  <c r="I129" i="59" s="1"/>
  <c r="L129" i="59" s="1"/>
  <c r="F156" i="59"/>
  <c r="I156" i="59" s="1"/>
  <c r="L156" i="59" s="1"/>
  <c r="F133" i="59"/>
  <c r="I133" i="59" s="1"/>
  <c r="L133" i="59" s="1"/>
  <c r="F130" i="59"/>
  <c r="I130" i="59" s="1"/>
  <c r="L130" i="59" s="1"/>
  <c r="F137" i="59"/>
  <c r="I137" i="59" s="1"/>
  <c r="L137" i="59" s="1"/>
  <c r="F134" i="59"/>
  <c r="I134" i="59" s="1"/>
  <c r="L134" i="59" s="1"/>
  <c r="F137" i="67"/>
  <c r="I137" i="67" s="1"/>
  <c r="L137" i="67" s="1"/>
  <c r="F127" i="67"/>
  <c r="I127" i="67" s="1"/>
  <c r="L127" i="67" s="1"/>
  <c r="F130" i="67"/>
  <c r="I130" i="67" s="1"/>
  <c r="F133" i="67"/>
  <c r="I133" i="67" s="1"/>
  <c r="L133" i="67" s="1"/>
  <c r="F139" i="67"/>
  <c r="I139" i="67" s="1"/>
  <c r="L139" i="67" s="1"/>
  <c r="F138" i="67"/>
  <c r="I138" i="67" s="1"/>
  <c r="L138" i="67" s="1"/>
  <c r="F152" i="67"/>
  <c r="I152" i="67" s="1"/>
  <c r="L152" i="67" s="1"/>
  <c r="F151" i="67"/>
  <c r="I151" i="67" s="1"/>
  <c r="F136" i="67"/>
  <c r="I136" i="67" s="1"/>
  <c r="L136" i="67" s="1"/>
  <c r="F155" i="67"/>
  <c r="I155" i="67" s="1"/>
  <c r="L155" i="67" s="1"/>
  <c r="F148" i="67"/>
  <c r="I148" i="67" s="1"/>
  <c r="L148" i="67" s="1"/>
  <c r="F135" i="67"/>
  <c r="I135" i="67" s="1"/>
  <c r="L135" i="67" s="1"/>
  <c r="F129" i="67"/>
  <c r="I129" i="67" s="1"/>
  <c r="L129" i="67" s="1"/>
  <c r="F156" i="67"/>
  <c r="I156" i="67" s="1"/>
  <c r="L156" i="67" s="1"/>
  <c r="F150" i="67"/>
  <c r="I150" i="67" s="1"/>
  <c r="L150" i="67" s="1"/>
  <c r="F128" i="67"/>
  <c r="I128" i="67" s="1"/>
  <c r="F154" i="67"/>
  <c r="I154" i="67" s="1"/>
  <c r="F134" i="67"/>
  <c r="I134" i="67" s="1"/>
  <c r="F131" i="67"/>
  <c r="I131" i="67" s="1"/>
  <c r="L131" i="67" s="1"/>
  <c r="F160" i="67"/>
  <c r="I160" i="67" s="1"/>
  <c r="L160" i="67" s="1"/>
  <c r="F149" i="67"/>
  <c r="I149" i="67" s="1"/>
  <c r="L149" i="67" s="1"/>
  <c r="F158" i="67"/>
  <c r="I158" i="67" s="1"/>
  <c r="L158" i="67" s="1"/>
  <c r="F153" i="67"/>
  <c r="I153" i="67" s="1"/>
  <c r="L153" i="67" s="1"/>
  <c r="F132" i="67"/>
  <c r="I132" i="67" s="1"/>
  <c r="L132" i="67" s="1"/>
  <c r="F157" i="67"/>
  <c r="I157" i="67" s="1"/>
  <c r="F159" i="67"/>
  <c r="I159" i="67" s="1"/>
  <c r="F131" i="38"/>
  <c r="I131" i="38" s="1"/>
  <c r="L131" i="38" s="1"/>
  <c r="F151" i="38"/>
  <c r="I151" i="38" s="1"/>
  <c r="L151" i="38" s="1"/>
  <c r="F150" i="38"/>
  <c r="I150" i="38" s="1"/>
  <c r="L150" i="38" s="1"/>
  <c r="F139" i="38"/>
  <c r="I139" i="38" s="1"/>
  <c r="F155" i="38"/>
  <c r="I155" i="38" s="1"/>
  <c r="L155" i="38" s="1"/>
  <c r="F154" i="38"/>
  <c r="I154" i="38" s="1"/>
  <c r="L154" i="38" s="1"/>
  <c r="F159" i="38"/>
  <c r="I159" i="38" s="1"/>
  <c r="F129" i="38"/>
  <c r="I129" i="38" s="1"/>
  <c r="L129" i="38" s="1"/>
  <c r="F158" i="38"/>
  <c r="I158" i="38" s="1"/>
  <c r="L158" i="38" s="1"/>
  <c r="F128" i="38"/>
  <c r="I128" i="38" s="1"/>
  <c r="L128" i="38" s="1"/>
  <c r="F133" i="38"/>
  <c r="I133" i="38" s="1"/>
  <c r="L133" i="38" s="1"/>
  <c r="F132" i="38"/>
  <c r="I132" i="38" s="1"/>
  <c r="L132" i="38" s="1"/>
  <c r="F137" i="38"/>
  <c r="I137" i="38" s="1"/>
  <c r="L137" i="38" s="1"/>
  <c r="F136" i="38"/>
  <c r="I136" i="38" s="1"/>
  <c r="L136" i="38" s="1"/>
  <c r="F149" i="38"/>
  <c r="I149" i="38" s="1"/>
  <c r="F148" i="38"/>
  <c r="I148" i="38" s="1"/>
  <c r="L148" i="38" s="1"/>
  <c r="F153" i="38"/>
  <c r="I153" i="38" s="1"/>
  <c r="L153" i="38" s="1"/>
  <c r="F152" i="38"/>
  <c r="I152" i="38" s="1"/>
  <c r="L152" i="38" s="1"/>
  <c r="F157" i="38"/>
  <c r="I157" i="38" s="1"/>
  <c r="L157" i="38" s="1"/>
  <c r="F156" i="38"/>
  <c r="I156" i="38" s="1"/>
  <c r="L156" i="38" s="1"/>
  <c r="F160" i="38"/>
  <c r="I160" i="38" s="1"/>
  <c r="L160" i="38" s="1"/>
  <c r="F130" i="38"/>
  <c r="I130" i="38" s="1"/>
  <c r="L130" i="38" s="1"/>
  <c r="F127" i="38"/>
  <c r="I127" i="38" s="1"/>
  <c r="F134" i="38"/>
  <c r="I134" i="38" s="1"/>
  <c r="L134" i="38" s="1"/>
  <c r="F135" i="38"/>
  <c r="I135" i="38" s="1"/>
  <c r="L135" i="38" s="1"/>
  <c r="F138" i="38"/>
  <c r="I138" i="38" s="1"/>
  <c r="L138" i="38" s="1"/>
  <c r="K79" i="26" l="1"/>
  <c r="K79" i="38"/>
  <c r="K78" i="53"/>
  <c r="K76" i="53"/>
  <c r="K77" i="53"/>
  <c r="K78" i="75"/>
  <c r="K77" i="75"/>
  <c r="K76" i="75"/>
  <c r="K79" i="12"/>
  <c r="K79" i="55"/>
  <c r="K79" i="36"/>
  <c r="K79" i="54"/>
  <c r="K79" i="76"/>
  <c r="K79" i="32"/>
  <c r="K79" i="58"/>
  <c r="K79" i="62"/>
  <c r="L150" i="72"/>
  <c r="L133" i="73"/>
  <c r="K79" i="57"/>
  <c r="K79" i="24"/>
  <c r="K79" i="44"/>
  <c r="K79" i="74"/>
  <c r="L153" i="45"/>
  <c r="L128" i="73"/>
  <c r="L137" i="72"/>
  <c r="K70" i="19"/>
  <c r="K71" i="19" s="1"/>
  <c r="K72" i="19" s="1"/>
  <c r="I159" i="76"/>
  <c r="L159" i="76" s="1"/>
  <c r="I153" i="73"/>
  <c r="L153" i="73"/>
  <c r="I129" i="72"/>
  <c r="L129" i="72" s="1"/>
  <c r="I158" i="76"/>
  <c r="L158" i="76" s="1"/>
  <c r="I154" i="72"/>
  <c r="L154" i="72" s="1"/>
  <c r="I160" i="76"/>
  <c r="L160" i="76" s="1"/>
  <c r="I137" i="74"/>
  <c r="L137" i="74" s="1"/>
  <c r="I157" i="74"/>
  <c r="L157" i="74" s="1"/>
  <c r="I160" i="73"/>
  <c r="L160" i="73" s="1"/>
  <c r="I130" i="73"/>
  <c r="L130" i="73" s="1"/>
  <c r="I134" i="72"/>
  <c r="L134" i="72" s="1"/>
  <c r="I134" i="73"/>
  <c r="L134" i="73" s="1"/>
  <c r="I148" i="72"/>
  <c r="L148" i="72" s="1"/>
  <c r="I150" i="74"/>
  <c r="L150" i="74" s="1"/>
  <c r="I130" i="72"/>
  <c r="L130" i="72" s="1"/>
  <c r="I133" i="72"/>
  <c r="L133" i="72" s="1"/>
  <c r="I151" i="74"/>
  <c r="L151" i="74" s="1"/>
  <c r="I154" i="74"/>
  <c r="L154" i="74" s="1"/>
  <c r="I127" i="72"/>
  <c r="L127" i="72" s="1"/>
  <c r="I135" i="76"/>
  <c r="L135" i="76" s="1"/>
  <c r="I138" i="74"/>
  <c r="L138" i="74" s="1"/>
  <c r="I149" i="73"/>
  <c r="L149" i="73" s="1"/>
  <c r="I139" i="72"/>
  <c r="L139" i="72" s="1"/>
  <c r="I149" i="75"/>
  <c r="L149" i="75" s="1"/>
  <c r="I148" i="74"/>
  <c r="L148" i="74" s="1"/>
  <c r="I138" i="73"/>
  <c r="L138" i="73" s="1"/>
  <c r="K70" i="72"/>
  <c r="K71" i="72" s="1"/>
  <c r="I149" i="74"/>
  <c r="L149" i="74" s="1"/>
  <c r="I135" i="72"/>
  <c r="L135" i="72" s="1"/>
  <c r="I138" i="72"/>
  <c r="L138" i="72" s="1"/>
  <c r="L153" i="72"/>
  <c r="I131" i="73"/>
  <c r="L131" i="73" s="1"/>
  <c r="I131" i="75"/>
  <c r="L131" i="75" s="1"/>
  <c r="I133" i="75"/>
  <c r="L133" i="75" s="1"/>
  <c r="L155" i="73"/>
  <c r="L159" i="72"/>
  <c r="L159" i="42"/>
  <c r="L137" i="40"/>
  <c r="L158" i="58"/>
  <c r="L158" i="44"/>
  <c r="L153" i="62"/>
  <c r="L133" i="55"/>
  <c r="L156" i="42"/>
  <c r="L158" i="57"/>
  <c r="L131" i="18"/>
  <c r="L158" i="18"/>
  <c r="L133" i="56"/>
  <c r="L128" i="57"/>
  <c r="L151" i="49"/>
  <c r="L137" i="45"/>
  <c r="L159" i="38"/>
  <c r="L152" i="18"/>
  <c r="L160" i="18"/>
  <c r="L151" i="18"/>
  <c r="K72" i="18"/>
  <c r="K75" i="18" s="1"/>
  <c r="L135" i="56"/>
  <c r="L160" i="42"/>
  <c r="L133" i="18"/>
  <c r="L149" i="58"/>
  <c r="L159" i="32"/>
  <c r="L138" i="24"/>
  <c r="L135" i="36"/>
  <c r="L158" i="62"/>
  <c r="L154" i="67"/>
  <c r="L157" i="18"/>
  <c r="L159" i="55"/>
  <c r="L129" i="18"/>
  <c r="I155" i="54"/>
  <c r="L155" i="54" s="1"/>
  <c r="L131" i="58"/>
  <c r="L130" i="18"/>
  <c r="L157" i="67"/>
  <c r="L149" i="55"/>
  <c r="L158" i="56"/>
  <c r="L156" i="53"/>
  <c r="L139" i="62"/>
  <c r="L150" i="65"/>
  <c r="L128" i="67"/>
  <c r="L132" i="40"/>
  <c r="L159" i="40"/>
  <c r="L136" i="45"/>
  <c r="L148" i="40"/>
  <c r="L128" i="36"/>
  <c r="L155" i="59"/>
  <c r="L154" i="56"/>
  <c r="L139" i="40"/>
  <c r="L127" i="38"/>
  <c r="L151" i="67"/>
  <c r="L137" i="56"/>
  <c r="L159" i="36"/>
  <c r="L129" i="42"/>
  <c r="L132" i="53"/>
  <c r="L149" i="38"/>
  <c r="L153" i="55"/>
  <c r="L129" i="36"/>
  <c r="L130" i="54"/>
  <c r="I154" i="12"/>
  <c r="L154" i="12" s="1"/>
  <c r="I132" i="19"/>
  <c r="L132" i="19"/>
  <c r="L132" i="44"/>
  <c r="L135" i="45"/>
  <c r="L155" i="65"/>
  <c r="L129" i="62"/>
  <c r="I158" i="19"/>
  <c r="L158" i="19" s="1"/>
  <c r="L134" i="67"/>
  <c r="L149" i="59"/>
  <c r="L155" i="55"/>
  <c r="I128" i="19"/>
  <c r="L128" i="19" s="1"/>
  <c r="I149" i="19"/>
  <c r="L149" i="19" s="1"/>
  <c r="L151" i="44"/>
  <c r="L154" i="42"/>
  <c r="L138" i="57"/>
  <c r="L154" i="58"/>
  <c r="L127" i="62"/>
  <c r="I137" i="12"/>
  <c r="L137" i="12" s="1"/>
  <c r="L139" i="38"/>
  <c r="I139" i="19"/>
  <c r="L139" i="19" s="1"/>
  <c r="I159" i="26"/>
  <c r="L159" i="26" s="1"/>
  <c r="L136" i="49"/>
  <c r="L130" i="42"/>
  <c r="I159" i="12"/>
  <c r="L159" i="12" s="1"/>
  <c r="L149" i="57"/>
  <c r="L130" i="67"/>
  <c r="L151" i="45"/>
  <c r="L134" i="53"/>
  <c r="L158" i="40"/>
  <c r="I155" i="18"/>
  <c r="L155" i="18" s="1"/>
  <c r="I134" i="19"/>
  <c r="L134" i="19" s="1"/>
  <c r="I156" i="19"/>
  <c r="L156" i="19" s="1"/>
  <c r="L150" i="40"/>
  <c r="L149" i="62"/>
  <c r="I131" i="12"/>
  <c r="L131" i="12" s="1"/>
  <c r="L137" i="55"/>
  <c r="L132" i="55"/>
  <c r="L138" i="53"/>
  <c r="L159" i="67"/>
  <c r="L154" i="59"/>
  <c r="L154" i="55"/>
  <c r="L152" i="30"/>
  <c r="I138" i="26"/>
  <c r="L138" i="26" s="1"/>
  <c r="L132" i="36"/>
  <c r="L148" i="49"/>
  <c r="L153" i="65"/>
  <c r="L156" i="62"/>
  <c r="I133" i="12"/>
  <c r="L133" i="12" s="1"/>
  <c r="K78" i="18" l="1"/>
  <c r="K76" i="18"/>
  <c r="K77" i="18"/>
  <c r="K79" i="53"/>
  <c r="K79" i="75"/>
  <c r="S12" i="75"/>
  <c r="R12" i="75"/>
  <c r="S12" i="73"/>
  <c r="R12" i="73"/>
  <c r="K72" i="72"/>
  <c r="R12" i="18"/>
  <c r="S12" i="18"/>
  <c r="S12" i="26"/>
  <c r="R12" i="26"/>
  <c r="R12" i="58"/>
  <c r="S12" i="58"/>
  <c r="R12" i="36"/>
  <c r="S12" i="36"/>
  <c r="R12" i="32"/>
  <c r="S12" i="32"/>
  <c r="K75" i="19"/>
  <c r="R12" i="19"/>
  <c r="S12" i="19"/>
  <c r="R12" i="12"/>
  <c r="S12" i="12"/>
  <c r="K77" i="19" l="1"/>
  <c r="K76" i="19"/>
  <c r="K78" i="19"/>
  <c r="S12" i="53"/>
  <c r="R12" i="53"/>
  <c r="S12" i="76"/>
  <c r="R12" i="76"/>
  <c r="S12" i="24"/>
  <c r="R12" i="24"/>
  <c r="R12" i="74"/>
  <c r="S12" i="74"/>
  <c r="R12" i="72"/>
  <c r="S12" i="72"/>
  <c r="K75" i="72"/>
  <c r="S13" i="26"/>
  <c r="S14" i="26" s="1"/>
  <c r="S15" i="26" s="1"/>
  <c r="K79" i="18"/>
  <c r="R13" i="18" s="1"/>
  <c r="R14" i="18" s="1"/>
  <c r="R13" i="12"/>
  <c r="R14" i="12" s="1"/>
  <c r="S12" i="55"/>
  <c r="R12" i="55"/>
  <c r="S12" i="42"/>
  <c r="R12" i="42"/>
  <c r="S12" i="65"/>
  <c r="R12" i="65"/>
  <c r="S12" i="56"/>
  <c r="R12" i="56"/>
  <c r="R12" i="59"/>
  <c r="S12" i="59"/>
  <c r="S12" i="67"/>
  <c r="R12" i="67"/>
  <c r="K85" i="26"/>
  <c r="K90" i="26" s="1"/>
  <c r="R13" i="26"/>
  <c r="R14" i="26" s="1"/>
  <c r="R12" i="57"/>
  <c r="S12" i="57"/>
  <c r="S12" i="44"/>
  <c r="R12" i="44"/>
  <c r="R12" i="62"/>
  <c r="S12" i="62"/>
  <c r="S12" i="54"/>
  <c r="R12" i="54"/>
  <c r="R12" i="49"/>
  <c r="S12" i="49"/>
  <c r="S12" i="45"/>
  <c r="R12" i="45"/>
  <c r="S12" i="40"/>
  <c r="R12" i="40"/>
  <c r="S12" i="38"/>
  <c r="R12" i="38"/>
  <c r="R12" i="30"/>
  <c r="S12" i="30"/>
  <c r="F14" i="71"/>
  <c r="K78" i="72" l="1"/>
  <c r="K77" i="72"/>
  <c r="K76" i="72"/>
  <c r="S13" i="18"/>
  <c r="S14" i="18" s="1"/>
  <c r="S15" i="18" s="1"/>
  <c r="K85" i="18"/>
  <c r="K90" i="18" s="1"/>
  <c r="R20" i="18" s="1"/>
  <c r="K79" i="72"/>
  <c r="S13" i="72" s="1"/>
  <c r="S14" i="72" s="1"/>
  <c r="S15" i="72" s="1"/>
  <c r="R13" i="36"/>
  <c r="R14" i="36" s="1"/>
  <c r="R15" i="36" s="1"/>
  <c r="K79" i="73"/>
  <c r="K85" i="58"/>
  <c r="K90" i="58" s="1"/>
  <c r="K85" i="12"/>
  <c r="K90" i="12" s="1"/>
  <c r="O20" i="12" s="1"/>
  <c r="S13" i="12"/>
  <c r="S14" i="12" s="1"/>
  <c r="S15" i="12" s="1"/>
  <c r="R13" i="32"/>
  <c r="R14" i="32" s="1"/>
  <c r="R15" i="32" s="1"/>
  <c r="H14" i="71"/>
  <c r="R15" i="26"/>
  <c r="R17" i="26"/>
  <c r="R18" i="26" s="1"/>
  <c r="K85" i="53"/>
  <c r="K90" i="53" s="1"/>
  <c r="S13" i="53"/>
  <c r="S14" i="53" s="1"/>
  <c r="S15" i="53" s="1"/>
  <c r="R13" i="53"/>
  <c r="R14" i="53" s="1"/>
  <c r="O20" i="26"/>
  <c r="R20" i="26"/>
  <c r="K79" i="19"/>
  <c r="S13" i="19" s="1"/>
  <c r="S14" i="19" s="1"/>
  <c r="S15" i="19" s="1"/>
  <c r="R15" i="12"/>
  <c r="R15" i="18"/>
  <c r="O20" i="18"/>
  <c r="E9" i="71"/>
  <c r="F21" i="71"/>
  <c r="F10" i="71"/>
  <c r="E13" i="71"/>
  <c r="E18" i="71"/>
  <c r="F13" i="71"/>
  <c r="E14" i="71"/>
  <c r="F11" i="71"/>
  <c r="F9" i="71"/>
  <c r="E16" i="71"/>
  <c r="R17" i="18" l="1"/>
  <c r="R18" i="18" s="1"/>
  <c r="S13" i="36"/>
  <c r="S14" i="36" s="1"/>
  <c r="S15" i="36" s="1"/>
  <c r="K85" i="59"/>
  <c r="K90" i="59" s="1"/>
  <c r="R20" i="59" s="1"/>
  <c r="H9" i="71"/>
  <c r="R13" i="24"/>
  <c r="R14" i="24" s="1"/>
  <c r="R13" i="58"/>
  <c r="R14" i="58" s="1"/>
  <c r="R15" i="58" s="1"/>
  <c r="S13" i="58"/>
  <c r="S14" i="58" s="1"/>
  <c r="S15" i="58" s="1"/>
  <c r="K85" i="72"/>
  <c r="K90" i="72" s="1"/>
  <c r="O20" i="72" s="1"/>
  <c r="R13" i="75"/>
  <c r="R14" i="75" s="1"/>
  <c r="S13" i="75"/>
  <c r="S14" i="75" s="1"/>
  <c r="S15" i="75" s="1"/>
  <c r="K85" i="75"/>
  <c r="K90" i="75" s="1"/>
  <c r="R20" i="12"/>
  <c r="K85" i="24"/>
  <c r="K90" i="24" s="1"/>
  <c r="S13" i="24"/>
  <c r="S14" i="24" s="1"/>
  <c r="S15" i="24" s="1"/>
  <c r="R13" i="76"/>
  <c r="R14" i="76" s="1"/>
  <c r="K85" i="76"/>
  <c r="K90" i="76" s="1"/>
  <c r="S13" i="76"/>
  <c r="S14" i="76" s="1"/>
  <c r="S15" i="76" s="1"/>
  <c r="R13" i="72"/>
  <c r="R14" i="72" s="1"/>
  <c r="R17" i="72" s="1"/>
  <c r="R18" i="72" s="1"/>
  <c r="S13" i="73"/>
  <c r="S14" i="73" s="1"/>
  <c r="S15" i="73" s="1"/>
  <c r="K85" i="73"/>
  <c r="K90" i="73" s="1"/>
  <c r="R13" i="73"/>
  <c r="R14" i="73" s="1"/>
  <c r="K85" i="36"/>
  <c r="K90" i="36" s="1"/>
  <c r="O20" i="36" s="1"/>
  <c r="R17" i="12"/>
  <c r="R18" i="12" s="1"/>
  <c r="R13" i="30"/>
  <c r="R14" i="30" s="1"/>
  <c r="H13" i="71"/>
  <c r="S13" i="44"/>
  <c r="S14" i="44" s="1"/>
  <c r="S15" i="44" s="1"/>
  <c r="S13" i="49"/>
  <c r="S14" i="49" s="1"/>
  <c r="S15" i="49" s="1"/>
  <c r="K85" i="40"/>
  <c r="K90" i="40" s="1"/>
  <c r="S13" i="56"/>
  <c r="S14" i="56" s="1"/>
  <c r="S15" i="56" s="1"/>
  <c r="H10" i="71"/>
  <c r="K85" i="32"/>
  <c r="K90" i="32" s="1"/>
  <c r="O20" i="32" s="1"/>
  <c r="S13" i="65"/>
  <c r="S14" i="65" s="1"/>
  <c r="S15" i="65" s="1"/>
  <c r="S13" i="32"/>
  <c r="S14" i="32" s="1"/>
  <c r="S15" i="32" s="1"/>
  <c r="K85" i="42"/>
  <c r="K90" i="42" s="1"/>
  <c r="K85" i="57"/>
  <c r="K90" i="57" s="1"/>
  <c r="S13" i="55"/>
  <c r="S14" i="55" s="1"/>
  <c r="S15" i="55" s="1"/>
  <c r="R13" i="38"/>
  <c r="R14" i="38" s="1"/>
  <c r="K85" i="62"/>
  <c r="K90" i="62" s="1"/>
  <c r="O20" i="62" s="1"/>
  <c r="R13" i="59"/>
  <c r="R14" i="59" s="1"/>
  <c r="R15" i="59" s="1"/>
  <c r="S13" i="59"/>
  <c r="S14" i="59" s="1"/>
  <c r="S15" i="59" s="1"/>
  <c r="K85" i="45"/>
  <c r="K90" i="45" s="1"/>
  <c r="G14" i="71"/>
  <c r="I14" i="71" s="1"/>
  <c r="H21" i="71"/>
  <c r="R17" i="53"/>
  <c r="R18" i="53" s="1"/>
  <c r="R15" i="53"/>
  <c r="H11" i="71"/>
  <c r="G18" i="71"/>
  <c r="K85" i="67"/>
  <c r="K90" i="67" s="1"/>
  <c r="R13" i="67"/>
  <c r="R14" i="67" s="1"/>
  <c r="S13" i="67"/>
  <c r="S14" i="67" s="1"/>
  <c r="S15" i="67" s="1"/>
  <c r="O20" i="59"/>
  <c r="O20" i="53"/>
  <c r="R20" i="53"/>
  <c r="K85" i="54"/>
  <c r="K90" i="54" s="1"/>
  <c r="S13" i="54"/>
  <c r="S14" i="54" s="1"/>
  <c r="S15" i="54" s="1"/>
  <c r="R13" i="54"/>
  <c r="R14" i="54" s="1"/>
  <c r="O20" i="58"/>
  <c r="R20" i="58"/>
  <c r="K85" i="19"/>
  <c r="K90" i="19" s="1"/>
  <c r="O20" i="19" s="1"/>
  <c r="R13" i="19"/>
  <c r="R14" i="19" s="1"/>
  <c r="R17" i="19" s="1"/>
  <c r="R18" i="19" s="1"/>
  <c r="G16" i="71"/>
  <c r="G13" i="71"/>
  <c r="G9" i="71"/>
  <c r="F35" i="71"/>
  <c r="E29" i="71"/>
  <c r="F18" i="71"/>
  <c r="F27" i="71"/>
  <c r="F24" i="71"/>
  <c r="F15" i="71"/>
  <c r="F34" i="71"/>
  <c r="F12" i="71"/>
  <c r="F36" i="71"/>
  <c r="E27" i="71"/>
  <c r="F30" i="71"/>
  <c r="F31" i="71"/>
  <c r="F33" i="71"/>
  <c r="F29" i="71"/>
  <c r="F25" i="71"/>
  <c r="E21" i="71"/>
  <c r="F37" i="71"/>
  <c r="F16" i="71"/>
  <c r="R20" i="72" l="1"/>
  <c r="R17" i="36"/>
  <c r="R18" i="36" s="1"/>
  <c r="H18" i="71"/>
  <c r="H27" i="71"/>
  <c r="K85" i="30"/>
  <c r="K90" i="30" s="1"/>
  <c r="R17" i="58"/>
  <c r="R18" i="58" s="1"/>
  <c r="H12" i="71"/>
  <c r="H37" i="71"/>
  <c r="H15" i="71"/>
  <c r="H31" i="71"/>
  <c r="R20" i="76"/>
  <c r="O20" i="76"/>
  <c r="R15" i="76"/>
  <c r="R17" i="76"/>
  <c r="R18" i="76" s="1"/>
  <c r="R15" i="72"/>
  <c r="R20" i="24"/>
  <c r="O20" i="24"/>
  <c r="S13" i="74"/>
  <c r="S14" i="74" s="1"/>
  <c r="S15" i="74" s="1"/>
  <c r="K85" i="74"/>
  <c r="K90" i="74" s="1"/>
  <c r="R13" i="74"/>
  <c r="R14" i="74" s="1"/>
  <c r="R20" i="75"/>
  <c r="O20" i="75"/>
  <c r="R15" i="73"/>
  <c r="R17" i="73"/>
  <c r="R18" i="73" s="1"/>
  <c r="R17" i="24"/>
  <c r="R18" i="24" s="1"/>
  <c r="R15" i="24"/>
  <c r="S13" i="30"/>
  <c r="S14" i="30" s="1"/>
  <c r="S15" i="30" s="1"/>
  <c r="R13" i="44"/>
  <c r="R14" i="44" s="1"/>
  <c r="R17" i="44" s="1"/>
  <c r="R18" i="44" s="1"/>
  <c r="R20" i="36"/>
  <c r="O20" i="73"/>
  <c r="R20" i="73"/>
  <c r="R17" i="75"/>
  <c r="R18" i="75" s="1"/>
  <c r="R15" i="75"/>
  <c r="K85" i="44"/>
  <c r="K90" i="44" s="1"/>
  <c r="O20" i="44" s="1"/>
  <c r="K85" i="49"/>
  <c r="K90" i="49" s="1"/>
  <c r="O20" i="49" s="1"/>
  <c r="I18" i="71"/>
  <c r="K85" i="65"/>
  <c r="K90" i="65" s="1"/>
  <c r="R20" i="65" s="1"/>
  <c r="R13" i="56"/>
  <c r="R14" i="56" s="1"/>
  <c r="R15" i="56" s="1"/>
  <c r="K85" i="56"/>
  <c r="K90" i="56" s="1"/>
  <c r="O20" i="56" s="1"/>
  <c r="S13" i="38"/>
  <c r="S14" i="38" s="1"/>
  <c r="S15" i="38" s="1"/>
  <c r="I13" i="71"/>
  <c r="R13" i="42"/>
  <c r="R14" i="42" s="1"/>
  <c r="R15" i="42" s="1"/>
  <c r="S13" i="42"/>
  <c r="S14" i="42" s="1"/>
  <c r="S15" i="42" s="1"/>
  <c r="R13" i="49"/>
  <c r="R14" i="49" s="1"/>
  <c r="R17" i="49" s="1"/>
  <c r="R18" i="49" s="1"/>
  <c r="R13" i="40"/>
  <c r="R14" i="40" s="1"/>
  <c r="R15" i="40" s="1"/>
  <c r="S13" i="40"/>
  <c r="S14" i="40" s="1"/>
  <c r="S15" i="40" s="1"/>
  <c r="R15" i="19"/>
  <c r="S13" i="57"/>
  <c r="S14" i="57" s="1"/>
  <c r="S15" i="57" s="1"/>
  <c r="R13" i="57"/>
  <c r="R14" i="57" s="1"/>
  <c r="K85" i="38"/>
  <c r="K90" i="38" s="1"/>
  <c r="O20" i="38" s="1"/>
  <c r="R20" i="32"/>
  <c r="R13" i="65"/>
  <c r="R14" i="65" s="1"/>
  <c r="R17" i="65" s="1"/>
  <c r="R18" i="65" s="1"/>
  <c r="H35" i="71"/>
  <c r="H16" i="71"/>
  <c r="I16" i="71" s="1"/>
  <c r="R20" i="62"/>
  <c r="R17" i="32"/>
  <c r="R18" i="32" s="1"/>
  <c r="R13" i="55"/>
  <c r="R14" i="55" s="1"/>
  <c r="R17" i="55" s="1"/>
  <c r="R18" i="55" s="1"/>
  <c r="K85" i="55"/>
  <c r="K90" i="55" s="1"/>
  <c r="O20" i="55" s="1"/>
  <c r="H34" i="71"/>
  <c r="S13" i="62"/>
  <c r="S14" i="62" s="1"/>
  <c r="S15" i="62" s="1"/>
  <c r="R13" i="62"/>
  <c r="R14" i="62" s="1"/>
  <c r="S13" i="45"/>
  <c r="S14" i="45" s="1"/>
  <c r="S15" i="45" s="1"/>
  <c r="R13" i="45"/>
  <c r="R14" i="45" s="1"/>
  <c r="R15" i="45" s="1"/>
  <c r="H29" i="71"/>
  <c r="R17" i="59"/>
  <c r="R18" i="59" s="1"/>
  <c r="H24" i="71"/>
  <c r="I9" i="71"/>
  <c r="G21" i="71"/>
  <c r="I21" i="71" s="1"/>
  <c r="H36" i="71"/>
  <c r="G29" i="71"/>
  <c r="H33" i="71"/>
  <c r="R15" i="67"/>
  <c r="R17" i="67"/>
  <c r="R18" i="67" s="1"/>
  <c r="R20" i="19"/>
  <c r="O20" i="42"/>
  <c r="R20" i="42"/>
  <c r="O20" i="57"/>
  <c r="R20" i="57"/>
  <c r="O20" i="67"/>
  <c r="R20" i="67"/>
  <c r="H30" i="71"/>
  <c r="O20" i="54"/>
  <c r="R20" i="54"/>
  <c r="R17" i="54"/>
  <c r="R18" i="54" s="1"/>
  <c r="R15" i="54"/>
  <c r="G27" i="71"/>
  <c r="H25" i="71"/>
  <c r="O20" i="45"/>
  <c r="R20" i="45"/>
  <c r="O20" i="40"/>
  <c r="R20" i="40"/>
  <c r="R15" i="38"/>
  <c r="R15" i="30"/>
  <c r="O20" i="30"/>
  <c r="R20" i="30"/>
  <c r="F17" i="71"/>
  <c r="F20" i="71"/>
  <c r="E31" i="71"/>
  <c r="E30" i="71"/>
  <c r="F32" i="71"/>
  <c r="E37" i="71"/>
  <c r="E19" i="71"/>
  <c r="E17" i="71"/>
  <c r="E36" i="71"/>
  <c r="E20" i="71"/>
  <c r="E12" i="71"/>
  <c r="F23" i="71"/>
  <c r="E10" i="71"/>
  <c r="F28" i="71"/>
  <c r="E34" i="71"/>
  <c r="E15" i="71"/>
  <c r="F22" i="71"/>
  <c r="F19" i="71"/>
  <c r="E26" i="71"/>
  <c r="E11" i="71"/>
  <c r="E23" i="71"/>
  <c r="F26" i="71"/>
  <c r="R17" i="57" l="1"/>
  <c r="R18" i="57" s="1"/>
  <c r="R20" i="44"/>
  <c r="I27" i="71"/>
  <c r="R20" i="49"/>
  <c r="H22" i="71"/>
  <c r="G10" i="71"/>
  <c r="I10" i="71" s="1"/>
  <c r="G37" i="71"/>
  <c r="I37" i="71" s="1"/>
  <c r="G12" i="71"/>
  <c r="I12" i="71" s="1"/>
  <c r="G31" i="71"/>
  <c r="I31" i="71" s="1"/>
  <c r="H17" i="71"/>
  <c r="G15" i="71"/>
  <c r="I15" i="71" s="1"/>
  <c r="R15" i="44"/>
  <c r="R15" i="74"/>
  <c r="R17" i="74"/>
  <c r="R18" i="74" s="1"/>
  <c r="R17" i="38"/>
  <c r="R18" i="38" s="1"/>
  <c r="R17" i="30"/>
  <c r="R18" i="30" s="1"/>
  <c r="R17" i="62"/>
  <c r="R18" i="62" s="1"/>
  <c r="O20" i="65"/>
  <c r="R20" i="74"/>
  <c r="O20" i="74"/>
  <c r="R17" i="42"/>
  <c r="R18" i="42" s="1"/>
  <c r="R17" i="56"/>
  <c r="R18" i="56" s="1"/>
  <c r="R20" i="56"/>
  <c r="H19" i="71"/>
  <c r="G34" i="71"/>
  <c r="I34" i="71" s="1"/>
  <c r="R15" i="49"/>
  <c r="R17" i="40"/>
  <c r="R18" i="40" s="1"/>
  <c r="R15" i="57"/>
  <c r="H26" i="71"/>
  <c r="H20" i="71"/>
  <c r="G11" i="71"/>
  <c r="I11" i="71" s="1"/>
  <c r="R15" i="65"/>
  <c r="H28" i="71"/>
  <c r="R20" i="38"/>
  <c r="R20" i="55"/>
  <c r="R15" i="62"/>
  <c r="R15" i="55"/>
  <c r="R17" i="45"/>
  <c r="R18" i="45" s="1"/>
  <c r="H32" i="71"/>
  <c r="H23" i="71"/>
  <c r="I29" i="71"/>
  <c r="G36" i="71"/>
  <c r="I36" i="71" s="1"/>
  <c r="G26" i="71"/>
  <c r="G20" i="71"/>
  <c r="G17" i="71"/>
  <c r="G30" i="71"/>
  <c r="I30" i="71" s="1"/>
  <c r="G23" i="71"/>
  <c r="G19" i="71"/>
  <c r="E24" i="71"/>
  <c r="E22" i="71"/>
  <c r="E25" i="71"/>
  <c r="E28" i="71"/>
  <c r="E33" i="71"/>
  <c r="E32" i="71"/>
  <c r="E35" i="71"/>
  <c r="I17" i="71" l="1"/>
  <c r="I19" i="71"/>
  <c r="G22" i="71"/>
  <c r="I22" i="71" s="1"/>
  <c r="G24" i="71"/>
  <c r="I24" i="71" s="1"/>
  <c r="I26" i="71"/>
  <c r="G25" i="71"/>
  <c r="I25" i="71" s="1"/>
  <c r="G28" i="71"/>
  <c r="I28" i="71" s="1"/>
  <c r="I20" i="71"/>
  <c r="I23" i="71"/>
  <c r="G35" i="71"/>
  <c r="I35" i="71" s="1"/>
  <c r="G33" i="71"/>
  <c r="I33" i="71" s="1"/>
  <c r="G32" i="71"/>
  <c r="I32" i="71" s="1"/>
  <c r="H38" i="71"/>
  <c r="H41" i="71" s="1"/>
  <c r="G38" i="71" l="1"/>
  <c r="G41" i="71" s="1"/>
  <c r="I38" i="71"/>
  <c r="I41" i="71" s="1"/>
</calcChain>
</file>

<file path=xl/comments1.xml><?xml version="1.0" encoding="utf-8"?>
<comments xmlns="http://schemas.openxmlformats.org/spreadsheetml/2006/main">
  <authors>
    <author>61697605249</author>
  </authors>
  <commentList>
    <comment ref="H20" authorId="0" shapeId="0">
      <text>
        <r>
          <rPr>
            <b/>
            <sz val="9"/>
            <color indexed="81"/>
            <rFont val="Tahoma"/>
            <family val="2"/>
          </rPr>
          <t>61697605249: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<sst xmlns="http://schemas.openxmlformats.org/spreadsheetml/2006/main" count="6265" uniqueCount="374">
  <si>
    <t>valor FIPE</t>
  </si>
  <si>
    <t>PERCENTUAL DE DEPRECIAÇÃO</t>
  </si>
  <si>
    <t>DADOS DE RODAGEM</t>
  </si>
  <si>
    <t>DADOS DO COMBUSTÍVEL</t>
  </si>
  <si>
    <t xml:space="preserve">COEFICIENTE </t>
  </si>
  <si>
    <t>l/km</t>
  </si>
  <si>
    <t>Item 1.2</t>
  </si>
  <si>
    <t>Item 1.3</t>
  </si>
  <si>
    <t>RODAGEM                 CONSUMO:</t>
  </si>
  <si>
    <t xml:space="preserve">PREÇO DO PNEU:                                        </t>
  </si>
  <si>
    <t>por veículo, sem rodagem</t>
  </si>
  <si>
    <t xml:space="preserve">Nº DE PNEUS:                                                           </t>
  </si>
  <si>
    <t>Item 1.4</t>
  </si>
  <si>
    <t>por km</t>
  </si>
  <si>
    <t>KM</t>
  </si>
  <si>
    <t>DISTÂNCIA DA ROTA POR DIA:</t>
  </si>
  <si>
    <t>por mês</t>
  </si>
  <si>
    <t xml:space="preserve">CONSUMO:                                                             </t>
  </si>
  <si>
    <t>km/l</t>
  </si>
  <si>
    <t xml:space="preserve">PREÇO DO LITRO DO DIESEL:                       </t>
  </si>
  <si>
    <t xml:space="preserve">Item 1:            CUSTOS VARIÁVEIS </t>
  </si>
  <si>
    <t>ITEM 02:       CUSTOS FIXOS</t>
  </si>
  <si>
    <t>Item 2.1</t>
  </si>
  <si>
    <t>ANO DE FABRICAÇÃO:</t>
  </si>
  <si>
    <t>Despesa de Depreciação do veículo:</t>
  </si>
  <si>
    <t>Faixa de Idade</t>
  </si>
  <si>
    <t>Item 2.3</t>
  </si>
  <si>
    <t>Custo com Pessoal:</t>
  </si>
  <si>
    <t>Motorista:</t>
  </si>
  <si>
    <t>Monitor</t>
  </si>
  <si>
    <t>Item 2.4</t>
  </si>
  <si>
    <t>Subitem 2.3.1</t>
  </si>
  <si>
    <t>Subitem 2.3.2</t>
  </si>
  <si>
    <t>Subitem 2.4.1</t>
  </si>
  <si>
    <t>Tributos relativos ao veículo:</t>
  </si>
  <si>
    <t>IPVA: (1% sobre o valor do veículo):</t>
  </si>
  <si>
    <t>Subitem 2.4.2</t>
  </si>
  <si>
    <t xml:space="preserve">Licenciamento anual: </t>
  </si>
  <si>
    <t>Subitem 2.4.3</t>
  </si>
  <si>
    <t>Vistoria:</t>
  </si>
  <si>
    <t>Seguro DPVAT:</t>
  </si>
  <si>
    <t>Item 2.5</t>
  </si>
  <si>
    <t>Base de cálculo (Custos Váriaveis + Custo Fixo)</t>
  </si>
  <si>
    <t>TOTAL DOS CUSTOS FIXOS</t>
  </si>
  <si>
    <t>ISS</t>
  </si>
  <si>
    <t xml:space="preserve">PIS </t>
  </si>
  <si>
    <t>COFINS</t>
  </si>
  <si>
    <t>ALÍQUOTA</t>
  </si>
  <si>
    <t>TOTAL DE TRIBUTOS:</t>
  </si>
  <si>
    <t>CUSTO POR KM</t>
  </si>
  <si>
    <t>por Km</t>
  </si>
  <si>
    <t>VALOR DO INTINERÁRIO AO MÊS</t>
  </si>
  <si>
    <t xml:space="preserve">COMBUSTÍVEL          CONSUMO: </t>
  </si>
  <si>
    <t>Item 4.1</t>
  </si>
  <si>
    <t>Custo Indireto:</t>
  </si>
  <si>
    <t>PERCENTUAL</t>
  </si>
  <si>
    <t xml:space="preserve">TOTAL DO SERVIÇO PRESTADO: </t>
  </si>
  <si>
    <t>Item 2.6</t>
  </si>
  <si>
    <t>Custo de Lavagem do veículo</t>
  </si>
  <si>
    <t>Lucro Bruto:</t>
  </si>
  <si>
    <t>Item 2.7</t>
  </si>
  <si>
    <t>Item 2.8</t>
  </si>
  <si>
    <t xml:space="preserve">Monitoramento Veicular: </t>
  </si>
  <si>
    <t>Seguro de Terceiros:</t>
  </si>
  <si>
    <t>TRANSPORTE ESCOLAR RURAL - CÁCULO DO CUSTO MENSAL POR QUILÔMETRO.</t>
  </si>
  <si>
    <t>ÔNIBUS:</t>
  </si>
  <si>
    <t xml:space="preserve">VALOR: </t>
  </si>
  <si>
    <t>VIDA ÚTIL:</t>
  </si>
  <si>
    <t>QUANTIDADE DE PNEUS:</t>
  </si>
  <si>
    <t>TIPO:</t>
  </si>
  <si>
    <t>Nº DE LUGARES:</t>
  </si>
  <si>
    <t>VIDA ÚTIL DO PNEU:</t>
  </si>
  <si>
    <t>PREÇO DO PNEU:</t>
  </si>
  <si>
    <t>CONSUMO:</t>
  </si>
  <si>
    <t>K/L</t>
  </si>
  <si>
    <t>MICRO ÔNIBUS</t>
  </si>
  <si>
    <t xml:space="preserve">QUANTIDADE DE PNEUS: </t>
  </si>
  <si>
    <t>VAN</t>
  </si>
  <si>
    <t>KOMBI</t>
  </si>
  <si>
    <t xml:space="preserve">IDADE DO VEÍCULO:                                                    </t>
  </si>
  <si>
    <t>Veículo:</t>
  </si>
  <si>
    <t>ANO DE FABRICAÇÃO</t>
  </si>
  <si>
    <t>VAN 2015</t>
  </si>
  <si>
    <t>KOMBI 2015</t>
  </si>
  <si>
    <t xml:space="preserve">Nº DE LUGARES:                                          </t>
  </si>
  <si>
    <t>ATÉ 36 VAN</t>
  </si>
  <si>
    <t>ATÉ 36 KIMBI</t>
  </si>
  <si>
    <t>VAN6</t>
  </si>
  <si>
    <t>KOMBI6</t>
  </si>
  <si>
    <t>VAN 80.000</t>
  </si>
  <si>
    <t>KOMBI 80.000</t>
  </si>
  <si>
    <t>TIPO DE VEÍCULO</t>
  </si>
  <si>
    <t>VIDA ÚTIL</t>
  </si>
  <si>
    <t>VEÍCULO NOVO</t>
  </si>
  <si>
    <t>(EM ANOS)</t>
  </si>
  <si>
    <t>VEÍCULO USADO</t>
  </si>
  <si>
    <t>VALOR RESIDUAL VEÍCULO NOVO</t>
  </si>
  <si>
    <t>(%)</t>
  </si>
  <si>
    <t>VAN, KOMBI E AUTOMÓVEL</t>
  </si>
  <si>
    <t>MICRO-ÔNIBUS E ÔNIBUS</t>
  </si>
  <si>
    <t>ONIBUS:</t>
  </si>
  <si>
    <t>Depreciação anual:</t>
  </si>
  <si>
    <t>Depreciação mensal:</t>
  </si>
  <si>
    <t>Valor Residual:</t>
  </si>
  <si>
    <t>VEíCULO NOVO:</t>
  </si>
  <si>
    <t>MÉTODO LINEAR:</t>
  </si>
  <si>
    <t>ÍNDICE RESIDUAL DO VEÍCULO:                               90%</t>
  </si>
  <si>
    <t>VEÍCULO NOVO:</t>
  </si>
  <si>
    <t>CLASSIFICAÇÃO DO VEÍCULO</t>
  </si>
  <si>
    <t>FABRICANTE</t>
  </si>
  <si>
    <t>MODELO</t>
  </si>
  <si>
    <t>Nº DE PASSAGEIROS</t>
  </si>
  <si>
    <t>MODELO PNEU</t>
  </si>
  <si>
    <t>PREÇO MÉDIO PNEU</t>
  </si>
  <si>
    <t>VIDA ÚTIL PNEU (KM RODADOS)</t>
  </si>
  <si>
    <t>TANQUE (LITROS)</t>
  </si>
  <si>
    <t>CONSUMO</t>
  </si>
  <si>
    <t>VOLKSWAGEN</t>
  </si>
  <si>
    <t>4,7 KM/L</t>
  </si>
  <si>
    <t>MARCOPOLO</t>
  </si>
  <si>
    <t>275/80 R 22,5</t>
  </si>
  <si>
    <t>MERCEDEZ BENZ</t>
  </si>
  <si>
    <t>Notas Explicativas:</t>
  </si>
  <si>
    <t xml:space="preserve">1) A categoria e a classificação dos veículos obedecem o descritivo do Caderno de Informações Técnicas Ônibus Rural Escolar, encontrado no site do Fundo Nacional de Desenvolvimento da Educação (FNDE): http://www.fnde.gov.br.   </t>
  </si>
  <si>
    <t>ATÉ 29 ALUNOS</t>
  </si>
  <si>
    <t>ATÉ 59 ALUNOS</t>
  </si>
  <si>
    <t>TRANSPOTE ESCOLAR - RONDÔNIA</t>
  </si>
  <si>
    <t>DEPRECIAÇÃO VEICULAR</t>
  </si>
  <si>
    <t>anos</t>
  </si>
  <si>
    <t>MÉTODO DE COLE</t>
  </si>
  <si>
    <t>LINEAR</t>
  </si>
  <si>
    <t>TOTAL:</t>
  </si>
  <si>
    <t>CUSTO VARIÁVEL + CUSTO FIXO</t>
  </si>
  <si>
    <t>ITEM 03: CUSTO INDIRETO E LUCRO</t>
  </si>
  <si>
    <t>ITEM 04: TRIBUTOS RELATIVOS AO FATUTRAMENTO</t>
  </si>
  <si>
    <t>Custos Váriaveis + Custos Fixos Custos Indiretos e Lucro + Tributos</t>
  </si>
  <si>
    <t>TRECHO PAVIMENTADO:</t>
  </si>
  <si>
    <t>TRECHO NÃO PAVIMENTADO:</t>
  </si>
  <si>
    <t>QUANTIDADE PERCORRIDA TRECHO PAVIMENTADO/MÊS:</t>
  </si>
  <si>
    <t>QUANTIDADE PERCORRIDA TRECHO NÃO PAVIMENTADO/MÊS:</t>
  </si>
  <si>
    <t>QUANTIDADE TOTAL DA ROTA MÊS:</t>
  </si>
  <si>
    <t xml:space="preserve">Valor do Intinerário / Quantidade de Km percorrida no mês (trecho pavimentado). </t>
  </si>
  <si>
    <t>Item 2.9</t>
  </si>
  <si>
    <t>Cronotacógrafo:</t>
  </si>
  <si>
    <t>TOTAL CUSTOS VARIÁVEIS - TRECHO PAVIMENTADO:</t>
  </si>
  <si>
    <t>TOTAL CUSTOS VARIÁVEIS - TRECHO NÃO PAVIMENTADO:</t>
  </si>
  <si>
    <t>TOTAL DO TRECHO (PAVIMENTADO + NÃO PAVIMENTADO):</t>
  </si>
  <si>
    <t>Nº DE RECAPAGENS:</t>
  </si>
  <si>
    <t>VALOR DA RECAPAGEM:</t>
  </si>
  <si>
    <t>VIDA ÚTIL DO PNEU COM AS RECAPAGENS:</t>
  </si>
  <si>
    <t xml:space="preserve">DADOS DO VEÍCULO:                                      </t>
  </si>
  <si>
    <r>
      <rPr>
        <b/>
        <sz val="22"/>
        <color theme="1"/>
        <rFont val="Calibri"/>
        <family val="2"/>
        <scheme val="minor"/>
      </rPr>
      <t>Estado de Rondônia</t>
    </r>
    <r>
      <rPr>
        <sz val="11"/>
        <color theme="1"/>
        <rFont val="Calibri"/>
        <family val="2"/>
        <scheme val="minor"/>
      </rPr>
      <t xml:space="preserve">
</t>
    </r>
  </si>
  <si>
    <t>LUBRIFICANTES        CONSUMO:</t>
  </si>
  <si>
    <t>MANUTENÇÃO         CONSUMO:</t>
  </si>
  <si>
    <t>ANOS</t>
  </si>
  <si>
    <t>PAVIMENTADO</t>
  </si>
  <si>
    <t>NÃO PAVIMENTADO</t>
  </si>
  <si>
    <t>ÔNIBUS RURAL ESCOLAR - ORE 3</t>
  </si>
  <si>
    <t>ATA DE REGISTRO DE PREÇOS - FNDE</t>
  </si>
  <si>
    <t xml:space="preserve">VALOR DO VEÍCULO </t>
  </si>
  <si>
    <t>ÔNIBUS RURAL ESCOLAR - ORE 1 - com Dispositivo do tipo Poltrona Móvel, para embarque e desembarque de estudante com deficiência</t>
  </si>
  <si>
    <t>Volksbus 8160 ODR</t>
  </si>
  <si>
    <t xml:space="preserve"> 215/75R 17,5</t>
  </si>
  <si>
    <t>ÔNIBUS RURAL ESCOLAR - ORE 1 (4X4) - - com Dispositivo do tipo Poltrona Móvel, para embarque e desembarque de estudante com deficiência</t>
  </si>
  <si>
    <t>Volare V8L</t>
  </si>
  <si>
    <t xml:space="preserve"> 215/75R 17,6</t>
  </si>
  <si>
    <t>ÔNIBUS RURAL ESCOLAR - ORE 2 - com Dispositivo do tipo Poltrona Móvel, para embarque e desembarque de estudante com deficiência</t>
  </si>
  <si>
    <t>LO916</t>
  </si>
  <si>
    <t xml:space="preserve"> 215/75R x 17,5 </t>
  </si>
  <si>
    <t>2,60 KM/L</t>
  </si>
  <si>
    <t>ÔNIBUS RURAL ESCOLAR - ORE 3 - com Dispositivo do tipo Poltrona Móvel, para embarque e desembarque de estudante com deficiência</t>
  </si>
  <si>
    <t>Volksbus 15.190 ODR</t>
  </si>
  <si>
    <t>TRECHO PAVIMENTADO</t>
  </si>
  <si>
    <t>KM MAXIMO POR TRECHO</t>
  </si>
  <si>
    <t>CUSTO VARIAVEL</t>
  </si>
  <si>
    <t>CUSTOS INDIRETOS</t>
  </si>
  <si>
    <t>LUCRO</t>
  </si>
  <si>
    <t>TRIBUTOS</t>
  </si>
  <si>
    <t>TRECHO NÃO PAVIMENTADO</t>
  </si>
  <si>
    <t>VALOR TOTAL POR EMPREGADO</t>
  </si>
  <si>
    <t>Módulo 5 – Insumos Diversos</t>
  </si>
  <si>
    <t>E</t>
  </si>
  <si>
    <t>Módulo 4 – Custo de Reposição do Profissional Ausente</t>
  </si>
  <si>
    <t>D</t>
  </si>
  <si>
    <t>Módulo 3 – Provisão para Rescisão</t>
  </si>
  <si>
    <t>C</t>
  </si>
  <si>
    <t>Módulo 2 – Encargos e Benefícios Anuais, Mensais e Diários</t>
  </si>
  <si>
    <t>B</t>
  </si>
  <si>
    <t>Módulo 1 – Composição da Remuneração</t>
  </si>
  <si>
    <t>A</t>
  </si>
  <si>
    <t>Valor (R$)</t>
  </si>
  <si>
    <t>Mão-de-obra vinculada à execução contratual (valor por empregado)</t>
  </si>
  <si>
    <t>TOTAL</t>
  </si>
  <si>
    <t>TOTAL DOS ENCARGOS SOCIAIS E TRABALHISTAS</t>
  </si>
  <si>
    <t>TOTAL DO MÓDULO 5</t>
  </si>
  <si>
    <t>Outros  (Especificar)</t>
  </si>
  <si>
    <t>Equipamentos</t>
  </si>
  <si>
    <t xml:space="preserve">Materiais </t>
  </si>
  <si>
    <t>EPIs</t>
  </si>
  <si>
    <t xml:space="preserve">Uniformes </t>
  </si>
  <si>
    <t>INSUMOS DIVERSOS</t>
  </si>
  <si>
    <t xml:space="preserve"> MÓDULO 5 – INSUMOS DIVERSOS</t>
  </si>
  <si>
    <t>TOTAL DO MÓDULO 4</t>
  </si>
  <si>
    <t>Submódulo 4.2 - Intrajornada</t>
  </si>
  <si>
    <t>4.2</t>
  </si>
  <si>
    <t>Submódulo 4.1 - Ausências Legais</t>
  </si>
  <si>
    <t>4.1</t>
  </si>
  <si>
    <t>Módulo 4 – Encargos sociais e trabalhistas</t>
  </si>
  <si>
    <t xml:space="preserve"> QUADRO-RESUMO DO MÓDULO 4 - CUSTO DE REPOSIÇÃO DO PROFISSIONAL AUSENTE</t>
  </si>
  <si>
    <t>Intervalo para Repouso ou Alimentação</t>
  </si>
  <si>
    <t xml:space="preserve"> </t>
  </si>
  <si>
    <t>TOTAL DO SUBMÓDULO 4.1</t>
  </si>
  <si>
    <t>Outros</t>
  </si>
  <si>
    <t>F</t>
  </si>
  <si>
    <t>Substituto na Cobertura de Licença Maternidade</t>
  </si>
  <si>
    <t>Substituto na Cobertura Por Acidente de Trabalho</t>
  </si>
  <si>
    <t>Substituto na Cobertura de Licença Paternidade</t>
  </si>
  <si>
    <t>Substituto na Cobertura de Ausências Legais (por doença)</t>
  </si>
  <si>
    <t>Substituto na Cobertura de Férias (1/12 avos)</t>
  </si>
  <si>
    <t>MÓDULO 4 – CUSTO DE REPOSIÇÃO DO PROFISSIONAL AUSENTE</t>
  </si>
  <si>
    <t>Multa sobre FGTS e Contribuição Social sobre o Aviso Prévio Indenizado e sobre o Aviso Prévio Trabalhado. (Alterado Conf. Lei nº 13.932/2019)</t>
  </si>
  <si>
    <t>Incidência dos encargos do submódulo 2.2 sobre Aviso Prévio Trabalhado</t>
  </si>
  <si>
    <t>Aviso prévio trabalhado</t>
  </si>
  <si>
    <t>Incidência do FGTS sobre Aviso Prévio Indenizado</t>
  </si>
  <si>
    <t>Aviso Prévio Indenizado</t>
  </si>
  <si>
    <t>Provisão para Rescisão</t>
  </si>
  <si>
    <t>3.0</t>
  </si>
  <si>
    <t xml:space="preserve"> MÓDULO 3: PROVISÃO PARA RESCISÃO</t>
  </si>
  <si>
    <t>BENEFÍCIOS DIÁRIOS E MENSAIS</t>
  </si>
  <si>
    <t>2.3</t>
  </si>
  <si>
    <t>GPS, FGTS E OUTRAS CONTRIBUIÇÕES</t>
  </si>
  <si>
    <t>2.2</t>
  </si>
  <si>
    <t>13º SALÁRIO, FÉRIAS E ADICIONAL DE FÉRIAS</t>
  </si>
  <si>
    <t>2.1</t>
  </si>
  <si>
    <t xml:space="preserve"> Quadro-resumo do módulo 2-ENCARGOS E BENEFÍCIOS ANUAIS, MENSAIS E DIÁRIOS</t>
  </si>
  <si>
    <t>TOTAL DE BENEFÍCIOS MENSAIS E DIÁRIOS</t>
  </si>
  <si>
    <t xml:space="preserve">Seguro de vida </t>
  </si>
  <si>
    <t xml:space="preserve">Transporte </t>
  </si>
  <si>
    <t xml:space="preserve">BENEFÍCIOS MENSAIS E DIÁRIOS </t>
  </si>
  <si>
    <t>SEBRAE</t>
  </si>
  <si>
    <t>H</t>
  </si>
  <si>
    <t>RAT X SAT (Conforme GFIP)</t>
  </si>
  <si>
    <t>G</t>
  </si>
  <si>
    <t>FGTS</t>
  </si>
  <si>
    <t>SALÁRIO EDUCAÇÃO</t>
  </si>
  <si>
    <t>INCRA</t>
  </si>
  <si>
    <t>SENAI OU SENAC</t>
  </si>
  <si>
    <t>SESI OU SESC</t>
  </si>
  <si>
    <t>INSS</t>
  </si>
  <si>
    <t>Encargos previdenciários e FGTS</t>
  </si>
  <si>
    <t xml:space="preserve">Base de cálculo: De acordo com a instrução normativa nº 05/2017 anexo VII nota 3, a base de cálculo neste módulo deverá ser a soma: MÓDULO 1 + SUBMÓDULO 2.1. </t>
  </si>
  <si>
    <t>Férias (9,075%) e Adicional de Férias (TR x 3,025%)</t>
  </si>
  <si>
    <t>13 º Salário</t>
  </si>
  <si>
    <t>DÉCIMO TERCEIRO SALÁRIO, FÉRIAS E ADICIONAL DE FÉRIAS</t>
  </si>
  <si>
    <t xml:space="preserve"> MÓDULO 2: BENEFÍCIOS MENSAIS E DIÁRIOS</t>
  </si>
  <si>
    <t>TOTAL DA REMUNERAÇÃO</t>
  </si>
  <si>
    <t>H. Extra (+50%) ou H. Normal + 20% de adiconal</t>
  </si>
  <si>
    <t>Hora noturna adicional (somente após as 05:00h)</t>
  </si>
  <si>
    <t>20% sobre  a hora diurna</t>
  </si>
  <si>
    <t>Adicional Noturno</t>
  </si>
  <si>
    <t>40% sobre o salário mínimo</t>
  </si>
  <si>
    <t>Adicional de Insalubridade</t>
  </si>
  <si>
    <t>30% sobre o salário</t>
  </si>
  <si>
    <t>Adicional de Periculosidade</t>
  </si>
  <si>
    <t>Salário</t>
  </si>
  <si>
    <t>Composição da Remuneração</t>
  </si>
  <si>
    <t>MÓDULO 1 : COMPOSIÇÃO DA REMUNERAÇÃO</t>
  </si>
  <si>
    <t>Data base da categoria (dia/mês/ano)</t>
  </si>
  <si>
    <t>Motorista - Veículo Pesado</t>
  </si>
  <si>
    <t>Categoria profissional (vinculada à execução contratual)</t>
  </si>
  <si>
    <t>Salário Normativo da Categoria Profissional</t>
  </si>
  <si>
    <t>Prestação de Serviços de Transporte Escolar</t>
  </si>
  <si>
    <t>Tipo de serviço (mesmo serviço com características distintas)</t>
  </si>
  <si>
    <t>Dados complementares para composição dos custos referente à mão-de-obra</t>
  </si>
  <si>
    <t>Mão-de-obra vinculada à execução contratual</t>
  </si>
  <si>
    <t>Anexo III-A – Mão-de-obra</t>
  </si>
  <si>
    <t>Identificação do Serviço</t>
  </si>
  <si>
    <r>
      <t>N</t>
    </r>
    <r>
      <rPr>
        <strike/>
        <sz val="10"/>
        <rFont val="Calibri"/>
        <family val="2"/>
        <scheme val="minor"/>
      </rPr>
      <t>º</t>
    </r>
    <r>
      <rPr>
        <sz val="10"/>
        <rFont val="Calibri"/>
        <family val="2"/>
        <scheme val="minor"/>
      </rPr>
      <t xml:space="preserve"> de meses de execução contratual</t>
    </r>
  </si>
  <si>
    <t>VALOR TOTAL (Anual)</t>
  </si>
  <si>
    <t>Ano Acordo, Convenção ou Sentença Normativa em Dissídio Coletivo</t>
  </si>
  <si>
    <t>ESPECIFICAÇÃO</t>
  </si>
  <si>
    <t>Data de apresentação da proposta (mês/ano)</t>
  </si>
  <si>
    <t>PLANILHA DE CUSTOS E FORMAÇÃO DE PREÇOS</t>
  </si>
  <si>
    <t>Monitor de Transporte Escolar</t>
  </si>
  <si>
    <t>Bônus de Assiduidade</t>
  </si>
  <si>
    <t xml:space="preserve">VIDA ÚTIL DO VEÍCULO (ANOS):                                              </t>
  </si>
  <si>
    <t>REGIONAL - CACOAL</t>
  </si>
  <si>
    <t>ROTA</t>
  </si>
  <si>
    <t>ITINERÁRIO</t>
  </si>
  <si>
    <t>KM PAVIMENTADO/MÊS</t>
  </si>
  <si>
    <t>KM NÃO PAVIMENTADO/MÊS</t>
  </si>
  <si>
    <t>VALOR KM PAVIMENTADO</t>
  </si>
  <si>
    <t>VALOR KM NÃO PAVIMENTADO</t>
  </si>
  <si>
    <t>LINHA 192 NORTE - FRANCISCA DURAN - JOSÉ ROSALES</t>
  </si>
  <si>
    <t>LINHA 188 SUL - FRANCISCA DURAN - TANCREDO MATUTINO</t>
  </si>
  <si>
    <t>160 SUL - VERÍSSIMO - MATUTINO</t>
  </si>
  <si>
    <t>164 SUL - VERÍSSIMO - MAT/VESP</t>
  </si>
  <si>
    <t>168 NORTE-VERISSIMO- MAT/VESP</t>
  </si>
  <si>
    <t>168 SUL-VERISSIMO- MAT/VESP</t>
  </si>
  <si>
    <t>172 SUL - VERÍSSIMO - TANCREDO - MAT-VESP</t>
  </si>
  <si>
    <t>172 NORTE - VERISSIMO - MAT/VESP</t>
  </si>
  <si>
    <t>176 NORTE - MATUTINO/VESPERTINO</t>
  </si>
  <si>
    <t>176 SUL MAT-VESP</t>
  </si>
  <si>
    <t>180 NORTE - VERÍSSIMO - CTPM - MATUTINO E VESPERTINO</t>
  </si>
  <si>
    <t>180 SUL - VERÍSSIMO - TANCREDO - ALUIZIO -MAT/VESP</t>
  </si>
  <si>
    <t>196 SUL - DURAN - MATUTINO</t>
  </si>
  <si>
    <t>200 NORTE - DURAN - MATUTINO</t>
  </si>
  <si>
    <t>200 SUL - DURAN - MATUTINO</t>
  </si>
  <si>
    <t>204 NORTE - DURAN</t>
  </si>
  <si>
    <t>208 NORTE - DURAN - MAT/VESP</t>
  </si>
  <si>
    <t>208 SUL - JOSÉ ROSALES - MAT/VESP</t>
  </si>
  <si>
    <t>TRAVESSÃO DO CAFÉ-VERÍSSIMO-CANDIDO - MATUTINO E VESPERTINO</t>
  </si>
  <si>
    <t>TRAV DO PEIXE VERISSIMO VESPERTINO</t>
  </si>
  <si>
    <t>196 NORTE DURAN - MATUTINO</t>
  </si>
  <si>
    <t>LINHA 188 SUL - FRANCISCA DURAN - MATUTINO</t>
  </si>
  <si>
    <t>180 SUL - VERÍSSIMO - MAT.</t>
  </si>
  <si>
    <t xml:space="preserve">204 SUL - DURAN - Mat- SAI DA ESCOLA </t>
  </si>
  <si>
    <t>172 SUL - VERÍSSIMO  - MAT</t>
  </si>
  <si>
    <t>LINHA 188 NORTE - FRA.  DURAN - ALUISIO MATUTINO</t>
  </si>
  <si>
    <t>204 SUL - DURAN -ROSALES- MATUTINO</t>
  </si>
  <si>
    <t>VERISSIMO - RO 010 -180/164 - MATU</t>
  </si>
  <si>
    <t>192 SUL - DURAN - MATUTINO</t>
  </si>
  <si>
    <t>Pneu 275/80 R 22,5</t>
  </si>
  <si>
    <t>Recapagem de pneu</t>
  </si>
  <si>
    <t>Óleo diesel</t>
  </si>
  <si>
    <t>Lavagem do veículo</t>
  </si>
  <si>
    <t>Seguro de terceiros</t>
  </si>
  <si>
    <t>Monitoramento veicular</t>
  </si>
  <si>
    <t>Cronotacógrafo</t>
  </si>
  <si>
    <t>Uniforme (calça e camiseta)</t>
  </si>
  <si>
    <t>Custo Indireto</t>
  </si>
  <si>
    <t>Lucro Bruto</t>
  </si>
  <si>
    <t>10/2026</t>
  </si>
  <si>
    <t>Auxílio Alimentação</t>
  </si>
  <si>
    <t>RO000144/2026</t>
  </si>
  <si>
    <t>PIS</t>
  </si>
  <si>
    <t>CUSTO TOTAL MENSAL</t>
  </si>
  <si>
    <t>CUSTO TRECHO PAVIMENTADO MENSAL</t>
  </si>
  <si>
    <t>CUSTO TRECHO NÃO PAVIMENTADO MENSAL</t>
  </si>
  <si>
    <t>PLANILHA RESUMO</t>
  </si>
  <si>
    <t>Item 2.10</t>
  </si>
  <si>
    <t>Item 3.1</t>
  </si>
  <si>
    <t>Item 3.2</t>
  </si>
  <si>
    <t>Plotagem (Programa Estadual de Transporte Escolar Ir e Vir)</t>
  </si>
  <si>
    <t>Item 4.2</t>
  </si>
  <si>
    <t>Item 4.3</t>
  </si>
  <si>
    <t xml:space="preserve">Item 1.1 </t>
  </si>
  <si>
    <t xml:space="preserve">2) As especificações dos pneus encontram-se na descrição dos modelos de veículos registrados nas Atas de Preços do FNDE. </t>
  </si>
  <si>
    <t xml:space="preserve">3) Na estimação do valor do consumo de km/litro, foi utilizado o valor similar encontrado no CadTerc Vol. 4, referente à prestação de serviços de transporte de funcionários sob regime de fretamento contínuo (maio/2017). Segue em anexo essa estimação bem como sua fonte. </t>
  </si>
  <si>
    <t>m²</t>
  </si>
  <si>
    <t>R$/m²</t>
  </si>
  <si>
    <t>Plotagem (Programa Estadual de Transporte Escolar Ir e Vir) (par)</t>
  </si>
  <si>
    <t>MUNICÍPIO - ROLIM DE MOURA</t>
  </si>
  <si>
    <t>ESTADO DE RONDÔNIA</t>
  </si>
  <si>
    <t>MUNICÍPIO DE ROLIM DE MOURA</t>
  </si>
  <si>
    <t>TRANSPORTE ESCOLAR RURAL</t>
  </si>
  <si>
    <t>Custo Médio KM Pavimentado</t>
  </si>
  <si>
    <t>Custo Médio KM NÃO Pavimentado</t>
  </si>
  <si>
    <t>Custo Médio KM</t>
  </si>
  <si>
    <t>INSUMOS</t>
  </si>
  <si>
    <t>Data Referência:</t>
  </si>
  <si>
    <t>Plotagem (Programa Estadual de Transporte Escolar Ir e Vir) (adesivo 42cm X 29,5cm) (par)</t>
  </si>
  <si>
    <t>Nota Metodológica: Composição da Margem e Custos Indiretos</t>
  </si>
  <si>
    <t>1. Lucro Operacional (Margem de Lucro: 4,00%)</t>
  </si>
  <si>
    <t>2. Custos Indiretos (Taxa de Administração/Rateio: 2,66%)</t>
  </si>
  <si>
    <r>
      <t xml:space="preserve">Esta nota técnica apresenta a fundamentação para a definição do </t>
    </r>
    <r>
      <rPr>
        <b/>
        <sz val="11"/>
        <color theme="1"/>
        <rFont val="Calibri"/>
        <family val="2"/>
        <scheme val="minor"/>
      </rPr>
      <t>lucro operacional de 4,00%</t>
    </r>
    <r>
      <rPr>
        <sz val="11"/>
        <color theme="1"/>
        <rFont val="Calibri"/>
        <family val="2"/>
        <scheme val="minor"/>
      </rPr>
      <t xml:space="preserve"> e dos </t>
    </r>
    <r>
      <rPr>
        <b/>
        <sz val="11"/>
        <color theme="1"/>
        <rFont val="Calibri"/>
        <family val="2"/>
        <scheme val="minor"/>
      </rPr>
      <t>custos indiretos de 2,66%</t>
    </r>
    <r>
      <rPr>
        <sz val="11"/>
        <color theme="1"/>
        <rFont val="Calibri"/>
        <family val="2"/>
        <scheme val="minor"/>
      </rPr>
      <t xml:space="preserve"> aplicados na composição do preço/orçamento.</t>
    </r>
  </si>
  <si>
    <r>
      <t xml:space="preserve">O porcentual de </t>
    </r>
    <r>
      <rPr>
        <b/>
        <sz val="11"/>
        <color theme="1"/>
        <rFont val="Calibri"/>
        <family val="2"/>
        <scheme val="minor"/>
      </rPr>
      <t>4,00%</t>
    </r>
    <r>
      <rPr>
        <sz val="11"/>
        <color theme="1"/>
        <rFont val="Calibri"/>
        <family val="2"/>
        <scheme val="minor"/>
      </rPr>
      <t xml:space="preserve"> a título de lucro líquido operacional (margem calculada sobre o preço de venda) foi estabelecido com base nos seguintes critérios:</t>
    </r>
  </si>
  <si>
    <r>
      <t>Alinhamento de Mercado:</t>
    </r>
    <r>
      <rPr>
        <sz val="11"/>
        <color theme="1"/>
        <rFont val="Calibri"/>
        <family val="2"/>
        <scheme val="minor"/>
      </rPr>
      <t xml:space="preserve"> Reflete a média histórica de rentabilidade para projetos/serviços de escopo e complexidade similares no setor, garantindo competitividade em processos licitatórios ou comerciais.</t>
    </r>
  </si>
  <si>
    <r>
      <t>Apetite ao Risco e Retorno:</t>
    </r>
    <r>
      <rPr>
        <sz val="11"/>
        <color theme="1"/>
        <rFont val="Calibri"/>
        <family val="2"/>
        <scheme val="minor"/>
      </rPr>
      <t xml:space="preserve"> Remunera o capital investido e o risco assumido pela operação, mantendo a atratividade econômica sem onerar excessivamente o preço final para o cliente.</t>
    </r>
  </si>
  <si>
    <r>
      <t>Sustentabilidade Financeira:</t>
    </r>
    <r>
      <rPr>
        <sz val="11"/>
        <color theme="1"/>
        <rFont val="Calibri"/>
        <family val="2"/>
        <scheme val="minor"/>
      </rPr>
      <t xml:space="preserve"> Garante a capacidade de reinvestimento da empresa e a geração de fluxo de caixa saudável ao longo da execução do contrato.</t>
    </r>
  </si>
  <si>
    <r>
      <t xml:space="preserve">O índice de </t>
    </r>
    <r>
      <rPr>
        <b/>
        <sz val="11"/>
        <color theme="1"/>
        <rFont val="Calibri"/>
        <family val="2"/>
        <scheme val="minor"/>
      </rPr>
      <t>2,66%</t>
    </r>
    <r>
      <rPr>
        <sz val="11"/>
        <color theme="1"/>
        <rFont val="Calibri"/>
        <family val="2"/>
        <scheme val="minor"/>
      </rPr>
      <t xml:space="preserve"> para custos indiretos foi obtido por meio do rateio proporcional (pro-rata) das despesas corporativas que não podem ser diretamente vinculadas a um único projeto ou contrato. Sua composição contempla:</t>
    </r>
  </si>
  <si>
    <r>
      <t>Administração Central:</t>
    </r>
    <r>
      <rPr>
        <sz val="11"/>
        <color theme="1"/>
        <rFont val="Calibri"/>
        <family val="2"/>
        <scheme val="minor"/>
      </rPr>
      <t xml:space="preserve"> Fração dos custos de pessoal e infraestrutura da sede (recursos humanos, departamento jurídico, financeiro, diretoria e contabilidade).</t>
    </r>
  </si>
  <si>
    <r>
      <t>Custos Operacionais Compartilhados:</t>
    </r>
    <r>
      <rPr>
        <sz val="11"/>
        <color theme="1"/>
        <rFont val="Calibri"/>
        <family val="2"/>
        <scheme val="minor"/>
      </rPr>
      <t xml:space="preserve"> Despesas com sistemas de tecnologia (licenças de software, nuvem), telecomunicações, seguros gerais e utilidades.</t>
    </r>
  </si>
  <si>
    <r>
      <t>Logística e Apoio Técnico:</t>
    </r>
    <r>
      <rPr>
        <sz val="11"/>
        <color theme="1"/>
        <rFont val="Calibri"/>
        <family val="2"/>
        <scheme val="minor"/>
      </rPr>
      <t xml:space="preserve"> Apoio logístico centralizado e supervisão técnica eventual não alocada na planilha de custos diretos.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</si>
</sst>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7" formatCode="&quot;R$&quot;\ #,##0.00;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#,##0.00;\-&quot;R$&quot;#,##0.00"/>
    <numFmt numFmtId="165" formatCode="&quot;R$&quot;\ #,##0.00"/>
    <numFmt numFmtId="166" formatCode="0.0000"/>
    <numFmt numFmtId="167" formatCode="&quot;R$&quot;#,##0.00"/>
    <numFmt numFmtId="168" formatCode="#,##0.000000"/>
    <numFmt numFmtId="169" formatCode="0.000%"/>
    <numFmt numFmtId="170" formatCode="_-* #,##0.0000_-;\-* #,##0.0000_-;_-* &quot;-&quot;??_-;_-@_-"/>
  </numFmts>
  <fonts count="4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6"/>
      <color indexed="8"/>
      <name val="Calibri"/>
      <family val="2"/>
    </font>
    <font>
      <sz val="11"/>
      <color indexed="53"/>
      <name val="Calibri"/>
      <family val="2"/>
    </font>
    <font>
      <b/>
      <sz val="11"/>
      <color indexed="53"/>
      <name val="Calibri"/>
      <family val="2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indexed="8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name val="Arial"/>
      <family val="2"/>
    </font>
    <font>
      <b/>
      <sz val="11"/>
      <color indexed="8"/>
      <name val="Calibri"/>
      <family val="2"/>
    </font>
    <font>
      <b/>
      <sz val="11"/>
      <color indexed="17"/>
      <name val="Calibri"/>
      <family val="2"/>
    </font>
    <font>
      <sz val="11"/>
      <color indexed="17"/>
      <name val="Calibri"/>
      <family val="2"/>
    </font>
    <font>
      <sz val="11"/>
      <color theme="6" tint="-0.499984740745262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indexed="8"/>
      <name val="Calibri"/>
      <family val="2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2"/>
      <name val="Arial"/>
      <family val="2"/>
    </font>
    <font>
      <b/>
      <sz val="9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u/>
      <sz val="10"/>
      <color indexed="12"/>
      <name val="Arial"/>
      <family val="2"/>
    </font>
    <font>
      <b/>
      <sz val="10"/>
      <color rgb="FFFF0000"/>
      <name val="Calibri"/>
      <family val="2"/>
      <scheme val="minor"/>
    </font>
    <font>
      <sz val="10"/>
      <name val="Arial"/>
      <family val="2"/>
    </font>
    <font>
      <strike/>
      <sz val="10"/>
      <name val="Calibri"/>
      <family val="2"/>
      <scheme val="minor"/>
    </font>
    <font>
      <b/>
      <sz val="16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9">
    <xf numFmtId="0" fontId="0" fillId="0" borderId="0"/>
    <xf numFmtId="43" fontId="6" fillId="0" borderId="0" applyFont="0" applyFill="0" applyBorder="0" applyAlignment="0" applyProtection="0"/>
    <xf numFmtId="0" fontId="7" fillId="0" borderId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34" fillId="0" borderId="0" applyNumberFormat="0" applyFill="0" applyBorder="0" applyAlignment="0" applyProtection="0">
      <alignment vertical="top"/>
      <protection locked="0"/>
    </xf>
    <xf numFmtId="0" fontId="36" fillId="0" borderId="0"/>
    <xf numFmtId="0" fontId="36" fillId="0" borderId="0"/>
  </cellStyleXfs>
  <cellXfs count="386">
    <xf numFmtId="0" fontId="0" fillId="0" borderId="0" xfId="0"/>
    <xf numFmtId="0" fontId="4" fillId="0" borderId="0" xfId="0" applyFont="1"/>
    <xf numFmtId="165" fontId="0" fillId="0" borderId="0" xfId="0" applyNumberFormat="1"/>
    <xf numFmtId="0" fontId="3" fillId="0" borderId="0" xfId="0" applyFont="1" applyAlignment="1">
      <alignment horizontal="left"/>
    </xf>
    <xf numFmtId="0" fontId="0" fillId="0" borderId="0" xfId="0" applyAlignment="1">
      <alignment vertical="top"/>
    </xf>
    <xf numFmtId="0" fontId="0" fillId="0" borderId="0" xfId="0" applyAlignment="1">
      <alignment horizontal="left"/>
    </xf>
    <xf numFmtId="0" fontId="3" fillId="0" borderId="0" xfId="0" applyFont="1" applyAlignment="1">
      <alignment horizontal="center"/>
    </xf>
    <xf numFmtId="0" fontId="5" fillId="0" borderId="0" xfId="0" applyFont="1"/>
    <xf numFmtId="0" fontId="0" fillId="0" borderId="0" xfId="0" applyAlignment="1">
      <alignment horizontal="center"/>
    </xf>
    <xf numFmtId="0" fontId="1" fillId="0" borderId="0" xfId="0" applyFont="1"/>
    <xf numFmtId="0" fontId="0" fillId="6" borderId="0" xfId="0" applyFill="1"/>
    <xf numFmtId="0" fontId="0" fillId="7" borderId="0" xfId="0" applyFill="1"/>
    <xf numFmtId="0" fontId="2" fillId="7" borderId="0" xfId="0" applyFont="1" applyFill="1"/>
    <xf numFmtId="0" fontId="1" fillId="7" borderId="0" xfId="0" applyFont="1" applyFill="1"/>
    <xf numFmtId="0" fontId="1" fillId="7" borderId="0" xfId="0" applyFont="1" applyFill="1" applyAlignment="1">
      <alignment horizontal="right"/>
    </xf>
    <xf numFmtId="0" fontId="1" fillId="7" borderId="0" xfId="0" applyFont="1" applyFill="1" applyAlignment="1">
      <alignment horizontal="left"/>
    </xf>
    <xf numFmtId="0" fontId="12" fillId="7" borderId="0" xfId="0" applyFont="1" applyFill="1"/>
    <xf numFmtId="3" fontId="1" fillId="7" borderId="0" xfId="0" applyNumberFormat="1" applyFont="1" applyFill="1" applyAlignment="1">
      <alignment horizontal="right"/>
    </xf>
    <xf numFmtId="0" fontId="2" fillId="0" borderId="0" xfId="0" applyFont="1"/>
    <xf numFmtId="3" fontId="1" fillId="7" borderId="0" xfId="0" applyNumberFormat="1" applyFont="1" applyFill="1"/>
    <xf numFmtId="165" fontId="1" fillId="7" borderId="0" xfId="0" applyNumberFormat="1" applyFont="1" applyFill="1" applyAlignment="1">
      <alignment horizontal="right"/>
    </xf>
    <xf numFmtId="0" fontId="0" fillId="0" borderId="8" xfId="0" applyBorder="1"/>
    <xf numFmtId="0" fontId="1" fillId="4" borderId="2" xfId="0" applyFont="1" applyFill="1" applyBorder="1"/>
    <xf numFmtId="0" fontId="1" fillId="4" borderId="4" xfId="0" applyFont="1" applyFill="1" applyBorder="1"/>
    <xf numFmtId="0" fontId="17" fillId="0" borderId="0" xfId="0" applyFont="1"/>
    <xf numFmtId="0" fontId="16" fillId="0" borderId="0" xfId="0" applyFont="1" applyAlignment="1">
      <alignment horizontal="left" vertical="center"/>
    </xf>
    <xf numFmtId="0" fontId="16" fillId="0" borderId="0" xfId="0" applyFont="1" applyAlignment="1">
      <alignment horizontal="left" vertical="top" wrapText="1"/>
    </xf>
    <xf numFmtId="0" fontId="17" fillId="8" borderId="0" xfId="0" applyFont="1" applyFill="1"/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165" fontId="1" fillId="7" borderId="0" xfId="0" applyNumberFormat="1" applyFont="1" applyFill="1"/>
    <xf numFmtId="165" fontId="1" fillId="0" borderId="0" xfId="0" applyNumberFormat="1" applyFont="1"/>
    <xf numFmtId="0" fontId="19" fillId="0" borderId="0" xfId="0" applyFont="1" applyProtection="1">
      <protection hidden="1"/>
    </xf>
    <xf numFmtId="0" fontId="0" fillId="0" borderId="0" xfId="0" applyProtection="1">
      <protection hidden="1"/>
    </xf>
    <xf numFmtId="0" fontId="20" fillId="0" borderId="0" xfId="0" applyFont="1" applyProtection="1">
      <protection hidden="1"/>
    </xf>
    <xf numFmtId="0" fontId="21" fillId="0" borderId="0" xfId="0" applyFont="1" applyProtection="1">
      <protection hidden="1"/>
    </xf>
    <xf numFmtId="0" fontId="21" fillId="0" borderId="0" xfId="0" applyFont="1" applyAlignment="1" applyProtection="1">
      <alignment horizontal="center"/>
      <protection hidden="1"/>
    </xf>
    <xf numFmtId="0" fontId="21" fillId="0" borderId="0" xfId="0" quotePrefix="1" applyFont="1" applyProtection="1">
      <protection hidden="1"/>
    </xf>
    <xf numFmtId="43" fontId="21" fillId="0" borderId="0" xfId="1" applyFont="1" applyProtection="1">
      <protection hidden="1"/>
    </xf>
    <xf numFmtId="4" fontId="22" fillId="0" borderId="0" xfId="0" applyNumberFormat="1" applyFont="1"/>
    <xf numFmtId="0" fontId="4" fillId="10" borderId="1" xfId="0" applyFont="1" applyFill="1" applyBorder="1"/>
    <xf numFmtId="0" fontId="0" fillId="10" borderId="1" xfId="0" applyFill="1" applyBorder="1"/>
    <xf numFmtId="0" fontId="7" fillId="0" borderId="0" xfId="2"/>
    <xf numFmtId="167" fontId="0" fillId="0" borderId="0" xfId="0" applyNumberFormat="1"/>
    <xf numFmtId="0" fontId="3" fillId="0" borderId="0" xfId="0" applyFont="1"/>
    <xf numFmtId="0" fontId="5" fillId="0" borderId="0" xfId="0" applyFont="1" applyAlignment="1">
      <alignment horizontal="left"/>
    </xf>
    <xf numFmtId="0" fontId="5" fillId="0" borderId="1" xfId="0" applyFont="1" applyBorder="1"/>
    <xf numFmtId="0" fontId="24" fillId="0" borderId="1" xfId="2" applyFont="1" applyBorder="1"/>
    <xf numFmtId="0" fontId="5" fillId="0" borderId="3" xfId="0" applyFont="1" applyBorder="1"/>
    <xf numFmtId="0" fontId="5" fillId="0" borderId="2" xfId="0" applyFont="1" applyBorder="1"/>
    <xf numFmtId="0" fontId="5" fillId="0" borderId="4" xfId="0" applyFont="1" applyBorder="1"/>
    <xf numFmtId="165" fontId="5" fillId="0" borderId="1" xfId="0" applyNumberFormat="1" applyFont="1" applyBorder="1"/>
    <xf numFmtId="165" fontId="3" fillId="4" borderId="1" xfId="0" applyNumberFormat="1" applyFont="1" applyFill="1" applyBorder="1" applyAlignment="1">
      <alignment vertical="center"/>
    </xf>
    <xf numFmtId="165" fontId="3" fillId="4" borderId="1" xfId="0" applyNumberFormat="1" applyFont="1" applyFill="1" applyBorder="1"/>
    <xf numFmtId="0" fontId="3" fillId="4" borderId="1" xfId="0" applyFont="1" applyFill="1" applyBorder="1"/>
    <xf numFmtId="0" fontId="27" fillId="10" borderId="0" xfId="0" applyFont="1" applyFill="1"/>
    <xf numFmtId="0" fontId="5" fillId="0" borderId="0" xfId="0" applyFont="1" applyAlignment="1">
      <alignment horizontal="center"/>
    </xf>
    <xf numFmtId="0" fontId="3" fillId="4" borderId="1" xfId="0" applyFont="1" applyFill="1" applyBorder="1" applyAlignment="1">
      <alignment vertical="center"/>
    </xf>
    <xf numFmtId="167" fontId="5" fillId="0" borderId="1" xfId="0" applyNumberFormat="1" applyFont="1" applyBorder="1"/>
    <xf numFmtId="167" fontId="5" fillId="0" borderId="1" xfId="0" applyNumberFormat="1" applyFont="1" applyBorder="1" applyAlignment="1">
      <alignment horizontal="center"/>
    </xf>
    <xf numFmtId="167" fontId="5" fillId="0" borderId="9" xfId="0" applyNumberFormat="1" applyFont="1" applyBorder="1"/>
    <xf numFmtId="0" fontId="5" fillId="4" borderId="1" xfId="0" applyFont="1" applyFill="1" applyBorder="1"/>
    <xf numFmtId="165" fontId="2" fillId="5" borderId="0" xfId="0" applyNumberFormat="1" applyFont="1" applyFill="1"/>
    <xf numFmtId="0" fontId="2" fillId="5" borderId="0" xfId="0" applyFont="1" applyFill="1"/>
    <xf numFmtId="165" fontId="2" fillId="4" borderId="1" xfId="0" applyNumberFormat="1" applyFont="1" applyFill="1" applyBorder="1"/>
    <xf numFmtId="167" fontId="2" fillId="4" borderId="1" xfId="0" applyNumberFormat="1" applyFont="1" applyFill="1" applyBorder="1"/>
    <xf numFmtId="167" fontId="2" fillId="12" borderId="1" xfId="0" applyNumberFormat="1" applyFont="1" applyFill="1" applyBorder="1"/>
    <xf numFmtId="164" fontId="2" fillId="4" borderId="4" xfId="0" applyNumberFormat="1" applyFont="1" applyFill="1" applyBorder="1" applyAlignment="1">
      <alignment vertical="center"/>
    </xf>
    <xf numFmtId="165" fontId="2" fillId="4" borderId="1" xfId="0" applyNumberFormat="1" applyFont="1" applyFill="1" applyBorder="1" applyAlignment="1">
      <alignment vertical="center"/>
    </xf>
    <xf numFmtId="167" fontId="1" fillId="7" borderId="0" xfId="0" applyNumberFormat="1" applyFont="1" applyFill="1"/>
    <xf numFmtId="168" fontId="5" fillId="0" borderId="1" xfId="0" applyNumberFormat="1" applyFont="1" applyBorder="1"/>
    <xf numFmtId="4" fontId="2" fillId="5" borderId="0" xfId="0" applyNumberFormat="1" applyFont="1" applyFill="1"/>
    <xf numFmtId="167" fontId="5" fillId="0" borderId="4" xfId="0" applyNumberFormat="1" applyFont="1" applyBorder="1"/>
    <xf numFmtId="0" fontId="16" fillId="0" borderId="0" xfId="0" applyFont="1" applyAlignment="1">
      <alignment vertical="top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165" fontId="17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3" fontId="17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vertical="top" wrapText="1"/>
    </xf>
    <xf numFmtId="0" fontId="16" fillId="0" borderId="0" xfId="0" applyFont="1" applyAlignment="1">
      <alignment wrapText="1"/>
    </xf>
    <xf numFmtId="0" fontId="18" fillId="2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165" fontId="17" fillId="3" borderId="1" xfId="0" applyNumberFormat="1" applyFont="1" applyFill="1" applyBorder="1" applyAlignment="1">
      <alignment horizontal="center" vertical="center"/>
    </xf>
    <xf numFmtId="7" fontId="29" fillId="3" borderId="1" xfId="0" applyNumberFormat="1" applyFont="1" applyFill="1" applyBorder="1" applyAlignment="1">
      <alignment horizontal="center" vertical="center"/>
    </xf>
    <xf numFmtId="3" fontId="17" fillId="3" borderId="1" xfId="0" applyNumberFormat="1" applyFont="1" applyFill="1" applyBorder="1" applyAlignment="1">
      <alignment horizontal="center" vertical="center"/>
    </xf>
    <xf numFmtId="17" fontId="17" fillId="3" borderId="1" xfId="0" applyNumberFormat="1" applyFont="1" applyFill="1" applyBorder="1" applyAlignment="1">
      <alignment horizontal="center" vertical="center"/>
    </xf>
    <xf numFmtId="0" fontId="17" fillId="3" borderId="0" xfId="0" applyFont="1" applyFill="1"/>
    <xf numFmtId="0" fontId="16" fillId="3" borderId="0" xfId="0" applyFont="1" applyFill="1"/>
    <xf numFmtId="4" fontId="0" fillId="0" borderId="0" xfId="0" applyNumberFormat="1"/>
    <xf numFmtId="0" fontId="30" fillId="0" borderId="0" xfId="0" applyFont="1" applyAlignment="1">
      <alignment horizontal="left" wrapText="1"/>
    </xf>
    <xf numFmtId="4" fontId="29" fillId="3" borderId="0" xfId="0" applyNumberFormat="1" applyFont="1" applyFill="1" applyAlignment="1">
      <alignment horizontal="justify" vertical="center"/>
    </xf>
    <xf numFmtId="0" fontId="29" fillId="3" borderId="0" xfId="0" applyFont="1" applyFill="1" applyAlignment="1">
      <alignment horizontal="justify" vertical="center"/>
    </xf>
    <xf numFmtId="0" fontId="29" fillId="3" borderId="0" xfId="0" applyFont="1" applyFill="1" applyAlignment="1">
      <alignment vertical="center"/>
    </xf>
    <xf numFmtId="0" fontId="29" fillId="3" borderId="0" xfId="0" applyFont="1" applyFill="1" applyAlignment="1">
      <alignment horizontal="center" vertical="center"/>
    </xf>
    <xf numFmtId="4" fontId="31" fillId="12" borderId="11" xfId="0" applyNumberFormat="1" applyFont="1" applyFill="1" applyBorder="1" applyAlignment="1">
      <alignment vertical="center"/>
    </xf>
    <xf numFmtId="4" fontId="31" fillId="3" borderId="15" xfId="0" applyNumberFormat="1" applyFont="1" applyFill="1" applyBorder="1" applyAlignment="1">
      <alignment vertical="center"/>
    </xf>
    <xf numFmtId="0" fontId="31" fillId="3" borderId="16" xfId="5" applyFont="1" applyFill="1" applyBorder="1" applyAlignment="1">
      <alignment horizontal="center" vertical="center" wrapText="1"/>
    </xf>
    <xf numFmtId="4" fontId="31" fillId="3" borderId="15" xfId="5" applyNumberFormat="1" applyFont="1" applyFill="1" applyBorder="1" applyAlignment="1">
      <alignment horizontal="center" vertical="center" wrapText="1"/>
    </xf>
    <xf numFmtId="4" fontId="31" fillId="12" borderId="15" xfId="0" applyNumberFormat="1" applyFont="1" applyFill="1" applyBorder="1" applyAlignment="1">
      <alignment vertical="center"/>
    </xf>
    <xf numFmtId="0" fontId="32" fillId="3" borderId="4" xfId="5" applyFont="1" applyFill="1" applyBorder="1" applyAlignment="1">
      <alignment horizontal="left" vertical="center" wrapText="1"/>
    </xf>
    <xf numFmtId="0" fontId="32" fillId="3" borderId="3" xfId="5" applyFont="1" applyFill="1" applyBorder="1" applyAlignment="1">
      <alignment horizontal="left" vertical="center" wrapText="1"/>
    </xf>
    <xf numFmtId="0" fontId="32" fillId="3" borderId="2" xfId="5" applyFont="1" applyFill="1" applyBorder="1" applyAlignment="1">
      <alignment horizontal="left" vertical="center" wrapText="1"/>
    </xf>
    <xf numFmtId="0" fontId="32" fillId="3" borderId="16" xfId="5" applyFont="1" applyFill="1" applyBorder="1" applyAlignment="1">
      <alignment horizontal="center" vertical="center" wrapText="1"/>
    </xf>
    <xf numFmtId="10" fontId="31" fillId="12" borderId="1" xfId="5" applyNumberFormat="1" applyFont="1" applyFill="1" applyBorder="1" applyAlignment="1">
      <alignment vertical="center" wrapText="1"/>
    </xf>
    <xf numFmtId="10" fontId="31" fillId="3" borderId="1" xfId="4" applyNumberFormat="1" applyFont="1" applyFill="1" applyBorder="1" applyAlignment="1">
      <alignment vertical="center"/>
    </xf>
    <xf numFmtId="10" fontId="31" fillId="12" borderId="1" xfId="4" applyNumberFormat="1" applyFont="1" applyFill="1" applyBorder="1" applyAlignment="1">
      <alignment vertical="center"/>
    </xf>
    <xf numFmtId="10" fontId="33" fillId="3" borderId="0" xfId="5" applyNumberFormat="1" applyFont="1" applyFill="1" applyAlignment="1">
      <alignment vertical="center" wrapText="1"/>
    </xf>
    <xf numFmtId="10" fontId="33" fillId="3" borderId="0" xfId="4" applyNumberFormat="1" applyFont="1" applyFill="1" applyBorder="1" applyAlignment="1">
      <alignment vertical="center"/>
    </xf>
    <xf numFmtId="10" fontId="0" fillId="0" borderId="0" xfId="4" applyNumberFormat="1" applyFont="1"/>
    <xf numFmtId="4" fontId="31" fillId="3" borderId="15" xfId="5" applyNumberFormat="1" applyFont="1" applyFill="1" applyBorder="1" applyAlignment="1">
      <alignment vertical="center" wrapText="1"/>
    </xf>
    <xf numFmtId="4" fontId="31" fillId="3" borderId="15" xfId="0" quotePrefix="1" applyNumberFormat="1" applyFont="1" applyFill="1" applyBorder="1" applyAlignment="1">
      <alignment vertical="center"/>
    </xf>
    <xf numFmtId="4" fontId="31" fillId="3" borderId="15" xfId="0" quotePrefix="1" applyNumberFormat="1" applyFont="1" applyFill="1" applyBorder="1" applyAlignment="1">
      <alignment horizontal="right" vertical="center"/>
    </xf>
    <xf numFmtId="4" fontId="31" fillId="3" borderId="15" xfId="0" applyNumberFormat="1" applyFont="1" applyFill="1" applyBorder="1" applyAlignment="1">
      <alignment horizontal="right" vertical="center"/>
    </xf>
    <xf numFmtId="0" fontId="32" fillId="3" borderId="1" xfId="0" applyFont="1" applyFill="1" applyBorder="1" applyAlignment="1">
      <alignment vertical="center"/>
    </xf>
    <xf numFmtId="0" fontId="32" fillId="3" borderId="16" xfId="0" applyFont="1" applyFill="1" applyBorder="1" applyAlignment="1">
      <alignment horizontal="center" vertical="center" wrapText="1"/>
    </xf>
    <xf numFmtId="0" fontId="32" fillId="3" borderId="1" xfId="0" applyFont="1" applyFill="1" applyBorder="1" applyAlignment="1">
      <alignment vertical="center" wrapText="1"/>
    </xf>
    <xf numFmtId="0" fontId="32" fillId="3" borderId="1" xfId="0" applyFont="1" applyFill="1" applyBorder="1" applyAlignment="1">
      <alignment horizontal="justify" vertical="center"/>
    </xf>
    <xf numFmtId="0" fontId="32" fillId="3" borderId="16" xfId="0" applyFont="1" applyFill="1" applyBorder="1" applyAlignment="1">
      <alignment horizontal="center" vertical="center"/>
    </xf>
    <xf numFmtId="0" fontId="32" fillId="3" borderId="1" xfId="7" applyFont="1" applyFill="1" applyBorder="1" applyAlignment="1">
      <alignment horizontal="justify" vertical="top" wrapText="1"/>
    </xf>
    <xf numFmtId="44" fontId="31" fillId="3" borderId="18" xfId="3" applyFont="1" applyFill="1" applyBorder="1" applyAlignment="1">
      <alignment horizontal="right" vertical="center" wrapText="1"/>
    </xf>
    <xf numFmtId="4" fontId="31" fillId="3" borderId="3" xfId="4" applyNumberFormat="1" applyFont="1" applyFill="1" applyBorder="1" applyAlignment="1">
      <alignment vertical="center"/>
    </xf>
    <xf numFmtId="4" fontId="31" fillId="3" borderId="2" xfId="4" applyNumberFormat="1" applyFont="1" applyFill="1" applyBorder="1" applyAlignment="1">
      <alignment vertical="center"/>
    </xf>
    <xf numFmtId="0" fontId="32" fillId="3" borderId="1" xfId="7" applyFont="1" applyFill="1" applyBorder="1" applyAlignment="1">
      <alignment horizontal="justify" vertical="center" wrapText="1"/>
    </xf>
    <xf numFmtId="0" fontId="32" fillId="3" borderId="1" xfId="8" applyFont="1" applyFill="1" applyBorder="1" applyAlignment="1">
      <alignment horizontal="left" vertical="center" wrapText="1"/>
    </xf>
    <xf numFmtId="167" fontId="5" fillId="0" borderId="1" xfId="0" applyNumberFormat="1" applyFont="1" applyBorder="1" applyAlignment="1">
      <alignment horizontal="right"/>
    </xf>
    <xf numFmtId="7" fontId="0" fillId="0" borderId="0" xfId="0" applyNumberFormat="1"/>
    <xf numFmtId="4" fontId="1" fillId="0" borderId="0" xfId="0" applyNumberFormat="1" applyFont="1"/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4" fontId="0" fillId="0" borderId="1" xfId="0" applyNumberFormat="1" applyBorder="1"/>
    <xf numFmtId="43" fontId="0" fillId="0" borderId="0" xfId="1" applyFont="1"/>
    <xf numFmtId="0" fontId="1" fillId="7" borderId="0" xfId="0" applyFont="1" applyFill="1" applyAlignment="1">
      <alignment horizontal="left"/>
    </xf>
    <xf numFmtId="0" fontId="1" fillId="7" borderId="0" xfId="0" applyFont="1" applyFill="1" applyAlignment="1">
      <alignment horizontal="right"/>
    </xf>
    <xf numFmtId="165" fontId="1" fillId="7" borderId="0" xfId="0" applyNumberFormat="1" applyFont="1" applyFill="1" applyAlignment="1">
      <alignment horizontal="right"/>
    </xf>
    <xf numFmtId="0" fontId="5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1" fillId="7" borderId="0" xfId="0" applyFont="1" applyFill="1" applyAlignment="1">
      <alignment horizontal="left"/>
    </xf>
    <xf numFmtId="165" fontId="1" fillId="7" borderId="0" xfId="0" applyNumberFormat="1" applyFont="1" applyFill="1" applyAlignment="1">
      <alignment horizontal="right"/>
    </xf>
    <xf numFmtId="0" fontId="1" fillId="7" borderId="0" xfId="0" applyFont="1" applyFill="1" applyAlignment="1">
      <alignment horizontal="right"/>
    </xf>
    <xf numFmtId="0" fontId="5" fillId="8" borderId="1" xfId="0" applyFont="1" applyFill="1" applyBorder="1"/>
    <xf numFmtId="0" fontId="5" fillId="13" borderId="1" xfId="0" applyFont="1" applyFill="1" applyBorder="1"/>
    <xf numFmtId="0" fontId="1" fillId="7" borderId="0" xfId="0" applyFont="1" applyFill="1" applyAlignment="1">
      <alignment horizontal="left"/>
    </xf>
    <xf numFmtId="0" fontId="1" fillId="7" borderId="0" xfId="0" applyFont="1" applyFill="1" applyAlignment="1">
      <alignment horizontal="right"/>
    </xf>
    <xf numFmtId="165" fontId="1" fillId="7" borderId="0" xfId="0" applyNumberFormat="1" applyFont="1" applyFill="1" applyAlignment="1">
      <alignment horizontal="right"/>
    </xf>
    <xf numFmtId="0" fontId="5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43" fontId="1" fillId="0" borderId="0" xfId="1" applyFont="1"/>
    <xf numFmtId="0" fontId="5" fillId="0" borderId="1" xfId="0" applyFont="1" applyFill="1" applyBorder="1"/>
    <xf numFmtId="4" fontId="31" fillId="0" borderId="15" xfId="0" applyNumberFormat="1" applyFont="1" applyFill="1" applyBorder="1" applyAlignment="1">
      <alignment vertical="center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5" fillId="0" borderId="10" xfId="0" applyFont="1" applyBorder="1" applyAlignment="1">
      <alignment horizontal="left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10" fontId="5" fillId="0" borderId="7" xfId="4" applyNumberFormat="1" applyFont="1" applyBorder="1"/>
    <xf numFmtId="10" fontId="5" fillId="0" borderId="1" xfId="4" applyNumberFormat="1" applyFont="1" applyBorder="1"/>
    <xf numFmtId="0" fontId="0" fillId="0" borderId="1" xfId="0" applyBorder="1" applyAlignment="1">
      <alignment wrapText="1"/>
    </xf>
    <xf numFmtId="44" fontId="0" fillId="0" borderId="1" xfId="3" applyFont="1" applyBorder="1"/>
    <xf numFmtId="43" fontId="0" fillId="0" borderId="1" xfId="1" applyFont="1" applyBorder="1"/>
    <xf numFmtId="10" fontId="0" fillId="0" borderId="1" xfId="1" applyNumberFormat="1" applyFont="1" applyBorder="1"/>
    <xf numFmtId="14" fontId="6" fillId="0" borderId="0" xfId="1" applyNumberFormat="1" applyFont="1" applyAlignment="1">
      <alignment horizontal="center"/>
    </xf>
    <xf numFmtId="44" fontId="0" fillId="0" borderId="1" xfId="3" applyFont="1" applyFill="1" applyBorder="1"/>
    <xf numFmtId="170" fontId="0" fillId="0" borderId="0" xfId="1" applyNumberFormat="1" applyFont="1"/>
    <xf numFmtId="43" fontId="0" fillId="0" borderId="1" xfId="3" applyNumberFormat="1" applyFont="1" applyFill="1" applyBorder="1"/>
    <xf numFmtId="43" fontId="1" fillId="0" borderId="0" xfId="1" applyNumberFormat="1" applyFont="1"/>
    <xf numFmtId="0" fontId="12" fillId="0" borderId="0" xfId="0" applyFont="1"/>
    <xf numFmtId="0" fontId="0" fillId="0" borderId="0" xfId="0" applyAlignment="1">
      <alignment horizontal="right"/>
    </xf>
    <xf numFmtId="14" fontId="0" fillId="0" borderId="0" xfId="0" applyNumberFormat="1"/>
    <xf numFmtId="0" fontId="2" fillId="0" borderId="0" xfId="0" applyFont="1" applyAlignment="1">
      <alignment horizontal="center"/>
    </xf>
    <xf numFmtId="0" fontId="0" fillId="0" borderId="10" xfId="0" applyBorder="1" applyAlignment="1">
      <alignment horizontal="right"/>
    </xf>
    <xf numFmtId="0" fontId="1" fillId="7" borderId="0" xfId="0" applyFont="1" applyFill="1" applyAlignment="1">
      <alignment horizontal="left"/>
    </xf>
    <xf numFmtId="0" fontId="1" fillId="7" borderId="0" xfId="0" applyFont="1" applyFill="1" applyAlignment="1">
      <alignment horizontal="right"/>
    </xf>
    <xf numFmtId="0" fontId="1" fillId="7" borderId="1" xfId="0" applyFont="1" applyFill="1" applyBorder="1" applyAlignment="1">
      <alignment horizontal="center" wrapText="1"/>
    </xf>
    <xf numFmtId="0" fontId="1" fillId="7" borderId="1" xfId="0" applyFont="1" applyFill="1" applyBorder="1" applyAlignment="1">
      <alignment horizontal="center" vertical="center" wrapText="1"/>
    </xf>
    <xf numFmtId="0" fontId="2" fillId="7" borderId="0" xfId="0" applyFont="1" applyFill="1" applyAlignment="1">
      <alignment horizontal="center"/>
    </xf>
    <xf numFmtId="165" fontId="1" fillId="7" borderId="0" xfId="0" applyNumberFormat="1" applyFont="1" applyFill="1" applyAlignment="1">
      <alignment horizontal="right"/>
    </xf>
    <xf numFmtId="0" fontId="3" fillId="4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5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5" borderId="0" xfId="0" applyFont="1" applyFill="1" applyAlignment="1">
      <alignment horizontal="center"/>
    </xf>
    <xf numFmtId="0" fontId="3" fillId="2" borderId="1" xfId="0" applyFont="1" applyFill="1" applyBorder="1" applyAlignment="1">
      <alignment horizontal="left"/>
    </xf>
    <xf numFmtId="0" fontId="5" fillId="0" borderId="1" xfId="0" applyFont="1" applyBorder="1" applyAlignment="1">
      <alignment horizontal="center"/>
    </xf>
    <xf numFmtId="10" fontId="5" fillId="0" borderId="1" xfId="0" applyNumberFormat="1" applyFont="1" applyBorder="1" applyAlignment="1">
      <alignment horizontal="center"/>
    </xf>
    <xf numFmtId="0" fontId="3" fillId="4" borderId="1" xfId="0" applyFont="1" applyFill="1" applyBorder="1" applyAlignment="1">
      <alignment horizontal="left" vertical="center"/>
    </xf>
    <xf numFmtId="0" fontId="3" fillId="12" borderId="1" xfId="0" applyFont="1" applyFill="1" applyBorder="1" applyAlignment="1">
      <alignment horizontal="center"/>
    </xf>
    <xf numFmtId="0" fontId="0" fillId="0" borderId="1" xfId="0" applyBorder="1" applyAlignment="1">
      <alignment horizontal="left"/>
    </xf>
    <xf numFmtId="0" fontId="5" fillId="0" borderId="0" xfId="0" applyFont="1" applyBorder="1" applyAlignment="1">
      <alignment horizontal="left"/>
    </xf>
    <xf numFmtId="0" fontId="5" fillId="2" borderId="1" xfId="0" applyFont="1" applyFill="1" applyBorder="1" applyAlignment="1">
      <alignment horizontal="left"/>
    </xf>
    <xf numFmtId="0" fontId="5" fillId="10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left"/>
    </xf>
    <xf numFmtId="0" fontId="5" fillId="0" borderId="6" xfId="0" applyFont="1" applyBorder="1" applyAlignment="1">
      <alignment horizontal="center"/>
    </xf>
    <xf numFmtId="0" fontId="25" fillId="2" borderId="1" xfId="0" applyFont="1" applyFill="1" applyBorder="1" applyAlignment="1">
      <alignment horizontal="left"/>
    </xf>
    <xf numFmtId="0" fontId="26" fillId="2" borderId="1" xfId="0" applyFont="1" applyFill="1" applyBorder="1" applyAlignment="1">
      <alignment horizontal="left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10" borderId="7" xfId="0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3" fontId="5" fillId="0" borderId="1" xfId="0" applyNumberFormat="1" applyFont="1" applyBorder="1" applyAlignment="1">
      <alignment horizontal="center"/>
    </xf>
    <xf numFmtId="165" fontId="5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4" fontId="5" fillId="0" borderId="2" xfId="0" applyNumberFormat="1" applyFont="1" applyBorder="1" applyAlignment="1">
      <alignment horizontal="center"/>
    </xf>
    <xf numFmtId="4" fontId="5" fillId="0" borderId="4" xfId="0" applyNumberFormat="1" applyFont="1" applyBorder="1" applyAlignment="1">
      <alignment horizontal="center"/>
    </xf>
    <xf numFmtId="0" fontId="5" fillId="0" borderId="1" xfId="0" applyFont="1" applyBorder="1" applyAlignment="1">
      <alignment horizontal="left" wrapText="1"/>
    </xf>
    <xf numFmtId="0" fontId="25" fillId="2" borderId="1" xfId="0" applyFont="1" applyFill="1" applyBorder="1" applyAlignment="1">
      <alignment horizontal="center"/>
    </xf>
    <xf numFmtId="0" fontId="26" fillId="2" borderId="1" xfId="0" applyFont="1" applyFill="1" applyBorder="1" applyAlignment="1">
      <alignment horizontal="center"/>
    </xf>
    <xf numFmtId="0" fontId="11" fillId="0" borderId="26" xfId="0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5" fillId="0" borderId="9" xfId="0" applyFont="1" applyBorder="1" applyAlignment="1">
      <alignment horizontal="right" vertical="center"/>
    </xf>
    <xf numFmtId="0" fontId="5" fillId="0" borderId="7" xfId="0" applyFont="1" applyBorder="1" applyAlignment="1">
      <alignment horizontal="right" vertical="center"/>
    </xf>
    <xf numFmtId="0" fontId="24" fillId="0" borderId="1" xfId="2" applyFont="1" applyBorder="1" applyAlignment="1">
      <alignment vertical="center"/>
    </xf>
    <xf numFmtId="0" fontId="11" fillId="0" borderId="0" xfId="0" applyFont="1" applyAlignment="1">
      <alignment horizontal="center"/>
    </xf>
    <xf numFmtId="0" fontId="25" fillId="2" borderId="2" xfId="0" applyFont="1" applyFill="1" applyBorder="1" applyAlignment="1">
      <alignment horizontal="center"/>
    </xf>
    <xf numFmtId="0" fontId="25" fillId="2" borderId="3" xfId="0" applyFont="1" applyFill="1" applyBorder="1" applyAlignment="1">
      <alignment horizontal="center"/>
    </xf>
    <xf numFmtId="0" fontId="25" fillId="2" borderId="4" xfId="0" applyFont="1" applyFill="1" applyBorder="1" applyAlignment="1">
      <alignment horizontal="center"/>
    </xf>
    <xf numFmtId="0" fontId="0" fillId="5" borderId="0" xfId="0" applyFill="1" applyAlignment="1">
      <alignment horizontal="center" wrapText="1"/>
    </xf>
    <xf numFmtId="0" fontId="0" fillId="5" borderId="0" xfId="0" applyFill="1" applyAlignment="1">
      <alignment horizontal="center"/>
    </xf>
    <xf numFmtId="0" fontId="11" fillId="5" borderId="0" xfId="0" applyFont="1" applyFill="1" applyAlignment="1">
      <alignment horizontal="center" wrapText="1"/>
    </xf>
    <xf numFmtId="0" fontId="11" fillId="4" borderId="1" xfId="0" applyFont="1" applyFill="1" applyBorder="1" applyAlignment="1">
      <alignment horizontal="center"/>
    </xf>
    <xf numFmtId="0" fontId="23" fillId="4" borderId="1" xfId="0" applyFont="1" applyFill="1" applyBorder="1" applyAlignment="1">
      <alignment horizontal="center"/>
    </xf>
    <xf numFmtId="0" fontId="11" fillId="11" borderId="0" xfId="0" applyFont="1" applyFill="1" applyAlignment="1">
      <alignment horizontal="center"/>
    </xf>
    <xf numFmtId="0" fontId="39" fillId="0" borderId="26" xfId="0" applyFont="1" applyBorder="1" applyAlignment="1">
      <alignment horizontal="center" vertical="center"/>
    </xf>
    <xf numFmtId="0" fontId="39" fillId="0" borderId="27" xfId="0" applyFont="1" applyBorder="1" applyAlignment="1">
      <alignment horizontal="center" vertical="center"/>
    </xf>
    <xf numFmtId="0" fontId="39" fillId="0" borderId="28" xfId="0" applyFont="1" applyBorder="1" applyAlignment="1">
      <alignment horizontal="center" vertical="center"/>
    </xf>
    <xf numFmtId="0" fontId="39" fillId="0" borderId="29" xfId="0" applyFont="1" applyBorder="1" applyAlignment="1">
      <alignment horizontal="center" vertical="center"/>
    </xf>
    <xf numFmtId="0" fontId="39" fillId="0" borderId="30" xfId="0" applyFont="1" applyBorder="1" applyAlignment="1">
      <alignment horizontal="center" vertical="center"/>
    </xf>
    <xf numFmtId="0" fontId="39" fillId="0" borderId="31" xfId="0" applyFont="1" applyBorder="1" applyAlignment="1">
      <alignment horizontal="center" vertical="center"/>
    </xf>
    <xf numFmtId="0" fontId="3" fillId="4" borderId="2" xfId="0" applyFont="1" applyFill="1" applyBorder="1" applyAlignment="1">
      <alignment horizontal="left"/>
    </xf>
    <xf numFmtId="0" fontId="3" fillId="4" borderId="3" xfId="0" applyFont="1" applyFill="1" applyBorder="1" applyAlignment="1">
      <alignment horizontal="left"/>
    </xf>
    <xf numFmtId="0" fontId="3" fillId="4" borderId="4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left"/>
    </xf>
    <xf numFmtId="0" fontId="3" fillId="2" borderId="3" xfId="0" applyFont="1" applyFill="1" applyBorder="1" applyAlignment="1">
      <alignment horizontal="left"/>
    </xf>
    <xf numFmtId="0" fontId="3" fillId="2" borderId="4" xfId="0" applyFont="1" applyFill="1" applyBorder="1" applyAlignment="1">
      <alignment horizontal="left"/>
    </xf>
    <xf numFmtId="10" fontId="5" fillId="0" borderId="2" xfId="0" applyNumberFormat="1" applyFont="1" applyBorder="1" applyAlignment="1">
      <alignment horizontal="center"/>
    </xf>
    <xf numFmtId="10" fontId="5" fillId="0" borderId="4" xfId="0" applyNumberFormat="1" applyFont="1" applyBorder="1" applyAlignment="1">
      <alignment horizontal="center"/>
    </xf>
    <xf numFmtId="0" fontId="3" fillId="4" borderId="2" xfId="0" applyFont="1" applyFill="1" applyBorder="1" applyAlignment="1">
      <alignment horizontal="left" vertical="center"/>
    </xf>
    <xf numFmtId="0" fontId="3" fillId="4" borderId="3" xfId="0" applyFont="1" applyFill="1" applyBorder="1" applyAlignment="1">
      <alignment horizontal="left" vertical="center"/>
    </xf>
    <xf numFmtId="0" fontId="3" fillId="4" borderId="4" xfId="0" applyFont="1" applyFill="1" applyBorder="1" applyAlignment="1">
      <alignment horizontal="left" vertical="center"/>
    </xf>
    <xf numFmtId="0" fontId="3" fillId="12" borderId="2" xfId="0" applyFont="1" applyFill="1" applyBorder="1" applyAlignment="1">
      <alignment horizontal="center"/>
    </xf>
    <xf numFmtId="0" fontId="3" fillId="12" borderId="3" xfId="0" applyFont="1" applyFill="1" applyBorder="1" applyAlignment="1">
      <alignment horizontal="center"/>
    </xf>
    <xf numFmtId="0" fontId="3" fillId="12" borderId="4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4" xfId="0" applyBorder="1" applyAlignment="1">
      <alignment horizontal="left"/>
    </xf>
    <xf numFmtId="0" fontId="40" fillId="0" borderId="26" xfId="0" applyFont="1" applyBorder="1" applyAlignment="1">
      <alignment horizontal="center" vertical="center"/>
    </xf>
    <xf numFmtId="0" fontId="40" fillId="0" borderId="27" xfId="0" applyFont="1" applyBorder="1" applyAlignment="1">
      <alignment horizontal="center" vertical="center"/>
    </xf>
    <xf numFmtId="0" fontId="40" fillId="0" borderId="28" xfId="0" applyFont="1" applyBorder="1" applyAlignment="1">
      <alignment horizontal="center" vertical="center"/>
    </xf>
    <xf numFmtId="0" fontId="40" fillId="0" borderId="29" xfId="0" applyFont="1" applyBorder="1" applyAlignment="1">
      <alignment horizontal="center" vertical="center"/>
    </xf>
    <xf numFmtId="0" fontId="40" fillId="0" borderId="30" xfId="0" applyFont="1" applyBorder="1" applyAlignment="1">
      <alignment horizontal="center" vertical="center"/>
    </xf>
    <xf numFmtId="0" fontId="40" fillId="0" borderId="31" xfId="0" applyFont="1" applyBorder="1" applyAlignment="1">
      <alignment horizontal="center" vertical="center"/>
    </xf>
    <xf numFmtId="0" fontId="11" fillId="13" borderId="26" xfId="0" applyFont="1" applyFill="1" applyBorder="1" applyAlignment="1">
      <alignment horizontal="center" vertical="center"/>
    </xf>
    <xf numFmtId="0" fontId="11" fillId="13" borderId="27" xfId="0" applyFont="1" applyFill="1" applyBorder="1" applyAlignment="1">
      <alignment horizontal="center" vertical="center"/>
    </xf>
    <xf numFmtId="0" fontId="11" fillId="13" borderId="28" xfId="0" applyFont="1" applyFill="1" applyBorder="1" applyAlignment="1">
      <alignment horizontal="center" vertical="center"/>
    </xf>
    <xf numFmtId="0" fontId="11" fillId="13" borderId="29" xfId="0" applyFont="1" applyFill="1" applyBorder="1" applyAlignment="1">
      <alignment horizontal="center" vertical="center"/>
    </xf>
    <xf numFmtId="0" fontId="11" fillId="13" borderId="30" xfId="0" applyFont="1" applyFill="1" applyBorder="1" applyAlignment="1">
      <alignment horizontal="center" vertical="center"/>
    </xf>
    <xf numFmtId="0" fontId="11" fillId="13" borderId="31" xfId="0" applyFont="1" applyFill="1" applyBorder="1" applyAlignment="1">
      <alignment horizontal="center" vertical="center"/>
    </xf>
    <xf numFmtId="0" fontId="39" fillId="13" borderId="26" xfId="0" applyFont="1" applyFill="1" applyBorder="1" applyAlignment="1">
      <alignment horizontal="center" vertical="center"/>
    </xf>
    <xf numFmtId="0" fontId="39" fillId="13" borderId="27" xfId="0" applyFont="1" applyFill="1" applyBorder="1" applyAlignment="1">
      <alignment horizontal="center" vertical="center"/>
    </xf>
    <xf numFmtId="0" fontId="39" fillId="13" borderId="28" xfId="0" applyFont="1" applyFill="1" applyBorder="1" applyAlignment="1">
      <alignment horizontal="center" vertical="center"/>
    </xf>
    <xf numFmtId="0" fontId="39" fillId="13" borderId="29" xfId="0" applyFont="1" applyFill="1" applyBorder="1" applyAlignment="1">
      <alignment horizontal="center" vertical="center"/>
    </xf>
    <xf numFmtId="0" fontId="39" fillId="13" borderId="30" xfId="0" applyFont="1" applyFill="1" applyBorder="1" applyAlignment="1">
      <alignment horizontal="center" vertical="center"/>
    </xf>
    <xf numFmtId="0" fontId="39" fillId="13" borderId="31" xfId="0" applyFont="1" applyFill="1" applyBorder="1" applyAlignment="1">
      <alignment horizontal="center" vertical="center"/>
    </xf>
    <xf numFmtId="0" fontId="28" fillId="0" borderId="26" xfId="0" applyFont="1" applyBorder="1" applyAlignment="1">
      <alignment horizontal="center" vertical="center"/>
    </xf>
    <xf numFmtId="0" fontId="28" fillId="0" borderId="27" xfId="0" applyFont="1" applyBorder="1" applyAlignment="1">
      <alignment horizontal="center" vertical="center"/>
    </xf>
    <xf numFmtId="0" fontId="28" fillId="0" borderId="28" xfId="0" applyFont="1" applyBorder="1" applyAlignment="1">
      <alignment horizontal="center" vertical="center"/>
    </xf>
    <xf numFmtId="0" fontId="28" fillId="0" borderId="29" xfId="0" applyFont="1" applyBorder="1" applyAlignment="1">
      <alignment horizontal="center" vertical="center"/>
    </xf>
    <xf numFmtId="0" fontId="28" fillId="0" borderId="30" xfId="0" applyFont="1" applyBorder="1" applyAlignment="1">
      <alignment horizontal="center" vertical="center"/>
    </xf>
    <xf numFmtId="0" fontId="28" fillId="0" borderId="31" xfId="0" applyFont="1" applyBorder="1" applyAlignment="1">
      <alignment horizontal="center" vertical="center"/>
    </xf>
    <xf numFmtId="0" fontId="41" fillId="0" borderId="26" xfId="0" applyFont="1" applyBorder="1" applyAlignment="1">
      <alignment horizontal="center" vertical="center"/>
    </xf>
    <xf numFmtId="0" fontId="41" fillId="0" borderId="27" xfId="0" applyFont="1" applyBorder="1" applyAlignment="1">
      <alignment horizontal="center" vertical="center"/>
    </xf>
    <xf numFmtId="0" fontId="41" fillId="0" borderId="28" xfId="0" applyFont="1" applyBorder="1" applyAlignment="1">
      <alignment horizontal="center" vertical="center"/>
    </xf>
    <xf numFmtId="0" fontId="41" fillId="0" borderId="29" xfId="0" applyFont="1" applyBorder="1" applyAlignment="1">
      <alignment horizontal="center" vertical="center"/>
    </xf>
    <xf numFmtId="0" fontId="41" fillId="0" borderId="30" xfId="0" applyFont="1" applyBorder="1" applyAlignment="1">
      <alignment horizontal="center" vertical="center"/>
    </xf>
    <xf numFmtId="0" fontId="41" fillId="0" borderId="31" xfId="0" applyFont="1" applyBorder="1" applyAlignment="1">
      <alignment horizontal="center" vertical="center"/>
    </xf>
    <xf numFmtId="0" fontId="31" fillId="3" borderId="2" xfId="5" applyFont="1" applyFill="1" applyBorder="1" applyAlignment="1">
      <alignment horizontal="left" vertical="center" wrapText="1"/>
    </xf>
    <xf numFmtId="0" fontId="31" fillId="3" borderId="3" xfId="5" applyFont="1" applyFill="1" applyBorder="1" applyAlignment="1">
      <alignment horizontal="left" vertical="center" wrapText="1"/>
    </xf>
    <xf numFmtId="0" fontId="31" fillId="3" borderId="4" xfId="5" applyFont="1" applyFill="1" applyBorder="1" applyAlignment="1">
      <alignment horizontal="left" vertical="center" wrapText="1"/>
    </xf>
    <xf numFmtId="0" fontId="31" fillId="12" borderId="14" xfId="5" applyFont="1" applyFill="1" applyBorder="1" applyAlignment="1">
      <alignment horizontal="center" vertical="center" wrapText="1"/>
    </xf>
    <xf numFmtId="0" fontId="31" fillId="12" borderId="13" xfId="5" applyFont="1" applyFill="1" applyBorder="1" applyAlignment="1">
      <alignment horizontal="center" vertical="center" wrapText="1"/>
    </xf>
    <xf numFmtId="0" fontId="31" fillId="12" borderId="12" xfId="5" applyFont="1" applyFill="1" applyBorder="1" applyAlignment="1">
      <alignment horizontal="center" vertical="center" wrapText="1"/>
    </xf>
    <xf numFmtId="0" fontId="31" fillId="12" borderId="17" xfId="5" applyFont="1" applyFill="1" applyBorder="1" applyAlignment="1">
      <alignment horizontal="center" vertical="center" wrapText="1"/>
    </xf>
    <xf numFmtId="0" fontId="31" fillId="12" borderId="3" xfId="5" applyFont="1" applyFill="1" applyBorder="1" applyAlignment="1">
      <alignment horizontal="center" vertical="center" wrapText="1"/>
    </xf>
    <xf numFmtId="0" fontId="31" fillId="12" borderId="4" xfId="5" applyFont="1" applyFill="1" applyBorder="1" applyAlignment="1">
      <alignment horizontal="center" vertical="center" wrapText="1"/>
    </xf>
    <xf numFmtId="0" fontId="31" fillId="3" borderId="17" xfId="5" applyFont="1" applyFill="1" applyBorder="1" applyAlignment="1">
      <alignment horizontal="center" vertical="center" wrapText="1"/>
    </xf>
    <xf numFmtId="0" fontId="31" fillId="3" borderId="4" xfId="5" applyFont="1" applyFill="1" applyBorder="1" applyAlignment="1">
      <alignment horizontal="center" vertical="center" wrapText="1"/>
    </xf>
    <xf numFmtId="0" fontId="31" fillId="3" borderId="2" xfId="5" applyFont="1" applyFill="1" applyBorder="1" applyAlignment="1">
      <alignment horizontal="center" vertical="center" wrapText="1"/>
    </xf>
    <xf numFmtId="0" fontId="31" fillId="3" borderId="3" xfId="5" applyFont="1" applyFill="1" applyBorder="1" applyAlignment="1">
      <alignment horizontal="center" vertical="center" wrapText="1"/>
    </xf>
    <xf numFmtId="0" fontId="32" fillId="3" borderId="3" xfId="0" applyFont="1" applyFill="1" applyBorder="1" applyAlignment="1">
      <alignment horizontal="left" vertical="center" wrapText="1"/>
    </xf>
    <xf numFmtId="0" fontId="32" fillId="3" borderId="4" xfId="0" applyFont="1" applyFill="1" applyBorder="1" applyAlignment="1">
      <alignment horizontal="left" vertical="center" wrapText="1"/>
    </xf>
    <xf numFmtId="0" fontId="32" fillId="3" borderId="2" xfId="5" applyFont="1" applyFill="1" applyBorder="1" applyAlignment="1">
      <alignment horizontal="left" vertical="center" wrapText="1"/>
    </xf>
    <xf numFmtId="0" fontId="32" fillId="3" borderId="3" xfId="5" applyFont="1" applyFill="1" applyBorder="1" applyAlignment="1">
      <alignment horizontal="left" vertical="center" wrapText="1"/>
    </xf>
    <xf numFmtId="0" fontId="32" fillId="3" borderId="4" xfId="5" applyFont="1" applyFill="1" applyBorder="1" applyAlignment="1">
      <alignment horizontal="left" vertical="center" wrapText="1"/>
    </xf>
    <xf numFmtId="0" fontId="31" fillId="3" borderId="17" xfId="5" applyFont="1" applyFill="1" applyBorder="1" applyAlignment="1">
      <alignment horizontal="center" vertical="center"/>
    </xf>
    <xf numFmtId="0" fontId="31" fillId="3" borderId="3" xfId="5" applyFont="1" applyFill="1" applyBorder="1" applyAlignment="1">
      <alignment horizontal="center" vertical="center"/>
    </xf>
    <xf numFmtId="0" fontId="31" fillId="3" borderId="18" xfId="5" applyFont="1" applyFill="1" applyBorder="1" applyAlignment="1">
      <alignment horizontal="center" vertical="center"/>
    </xf>
    <xf numFmtId="0" fontId="31" fillId="3" borderId="4" xfId="5" applyFont="1" applyFill="1" applyBorder="1" applyAlignment="1">
      <alignment horizontal="center" vertical="center"/>
    </xf>
    <xf numFmtId="0" fontId="31" fillId="12" borderId="17" xfId="5" applyFont="1" applyFill="1" applyBorder="1" applyAlignment="1">
      <alignment horizontal="right" vertical="center" wrapText="1"/>
    </xf>
    <xf numFmtId="0" fontId="31" fillId="12" borderId="3" xfId="5" applyFont="1" applyFill="1" applyBorder="1" applyAlignment="1">
      <alignment horizontal="right" vertical="center" wrapText="1"/>
    </xf>
    <xf numFmtId="0" fontId="31" fillId="12" borderId="4" xfId="5" applyFont="1" applyFill="1" applyBorder="1" applyAlignment="1">
      <alignment horizontal="right" vertical="center" wrapText="1"/>
    </xf>
    <xf numFmtId="0" fontId="31" fillId="3" borderId="2" xfId="5" applyFont="1" applyFill="1" applyBorder="1" applyAlignment="1">
      <alignment horizontal="center" vertical="center"/>
    </xf>
    <xf numFmtId="0" fontId="32" fillId="3" borderId="2" xfId="0" applyFont="1" applyFill="1" applyBorder="1" applyAlignment="1">
      <alignment horizontal="left" vertical="center"/>
    </xf>
    <xf numFmtId="0" fontId="32" fillId="3" borderId="4" xfId="0" applyFont="1" applyFill="1" applyBorder="1" applyAlignment="1">
      <alignment horizontal="left" vertical="center"/>
    </xf>
    <xf numFmtId="0" fontId="32" fillId="12" borderId="4" xfId="0" applyFont="1" applyFill="1" applyBorder="1" applyAlignment="1">
      <alignment horizontal="center" vertical="center" wrapText="1"/>
    </xf>
    <xf numFmtId="0" fontId="32" fillId="3" borderId="2" xfId="6" applyFont="1" applyFill="1" applyBorder="1" applyAlignment="1" applyProtection="1">
      <alignment horizontal="left" vertical="center"/>
    </xf>
    <xf numFmtId="0" fontId="32" fillId="3" borderId="4" xfId="6" applyFont="1" applyFill="1" applyBorder="1" applyAlignment="1" applyProtection="1">
      <alignment horizontal="left" vertical="center"/>
    </xf>
    <xf numFmtId="0" fontId="35" fillId="3" borderId="17" xfId="5" applyFont="1" applyFill="1" applyBorder="1" applyAlignment="1">
      <alignment horizontal="center" vertical="center" wrapText="1"/>
    </xf>
    <xf numFmtId="0" fontId="35" fillId="3" borderId="3" xfId="5" applyFont="1" applyFill="1" applyBorder="1" applyAlignment="1">
      <alignment horizontal="center" vertical="center" wrapText="1"/>
    </xf>
    <xf numFmtId="0" fontId="35" fillId="3" borderId="18" xfId="5" applyFont="1" applyFill="1" applyBorder="1" applyAlignment="1">
      <alignment horizontal="center" vertical="center" wrapText="1"/>
    </xf>
    <xf numFmtId="169" fontId="31" fillId="3" borderId="2" xfId="4" applyNumberFormat="1" applyFont="1" applyFill="1" applyBorder="1" applyAlignment="1">
      <alignment horizontal="justify" vertical="center"/>
    </xf>
    <xf numFmtId="169" fontId="31" fillId="3" borderId="4" xfId="4" applyNumberFormat="1" applyFont="1" applyFill="1" applyBorder="1" applyAlignment="1">
      <alignment horizontal="justify" vertical="center"/>
    </xf>
    <xf numFmtId="0" fontId="32" fillId="3" borderId="2" xfId="7" applyFont="1" applyFill="1" applyBorder="1" applyAlignment="1">
      <alignment horizontal="right" vertical="center" wrapText="1"/>
    </xf>
    <xf numFmtId="0" fontId="32" fillId="3" borderId="3" xfId="7" applyFont="1" applyFill="1" applyBorder="1" applyAlignment="1">
      <alignment horizontal="right" vertical="center" wrapText="1"/>
    </xf>
    <xf numFmtId="0" fontId="32" fillId="3" borderId="18" xfId="7" applyFont="1" applyFill="1" applyBorder="1" applyAlignment="1">
      <alignment horizontal="right" vertical="center" wrapText="1"/>
    </xf>
    <xf numFmtId="14" fontId="32" fillId="3" borderId="2" xfId="0" applyNumberFormat="1" applyFont="1" applyFill="1" applyBorder="1" applyAlignment="1">
      <alignment horizontal="right" vertical="center"/>
    </xf>
    <xf numFmtId="14" fontId="32" fillId="3" borderId="3" xfId="0" applyNumberFormat="1" applyFont="1" applyFill="1" applyBorder="1" applyAlignment="1">
      <alignment horizontal="right" vertical="center"/>
    </xf>
    <xf numFmtId="14" fontId="32" fillId="3" borderId="18" xfId="0" applyNumberFormat="1" applyFont="1" applyFill="1" applyBorder="1" applyAlignment="1">
      <alignment horizontal="right" vertical="center"/>
    </xf>
    <xf numFmtId="0" fontId="32" fillId="3" borderId="2" xfId="0" applyFont="1" applyFill="1" applyBorder="1" applyAlignment="1">
      <alignment horizontal="justify" vertical="center"/>
    </xf>
    <xf numFmtId="0" fontId="32" fillId="3" borderId="4" xfId="0" applyFont="1" applyFill="1" applyBorder="1" applyAlignment="1">
      <alignment horizontal="justify" vertical="center"/>
    </xf>
    <xf numFmtId="0" fontId="31" fillId="3" borderId="17" xfId="8" applyFont="1" applyFill="1" applyBorder="1" applyAlignment="1">
      <alignment horizontal="center" vertical="center"/>
    </xf>
    <xf numFmtId="0" fontId="31" fillId="3" borderId="3" xfId="8" applyFont="1" applyFill="1" applyBorder="1" applyAlignment="1">
      <alignment horizontal="center" vertical="center"/>
    </xf>
    <xf numFmtId="0" fontId="31" fillId="3" borderId="18" xfId="8" applyFont="1" applyFill="1" applyBorder="1" applyAlignment="1">
      <alignment horizontal="center" vertical="center"/>
    </xf>
    <xf numFmtId="0" fontId="31" fillId="3" borderId="22" xfId="8" applyFont="1" applyFill="1" applyBorder="1" applyAlignment="1">
      <alignment horizontal="center" vertical="center"/>
    </xf>
    <xf numFmtId="0" fontId="31" fillId="3" borderId="6" xfId="8" applyFont="1" applyFill="1" applyBorder="1" applyAlignment="1">
      <alignment horizontal="center" vertical="center"/>
    </xf>
    <xf numFmtId="0" fontId="31" fillId="3" borderId="21" xfId="8" applyFont="1" applyFill="1" applyBorder="1" applyAlignment="1">
      <alignment horizontal="center" vertical="center"/>
    </xf>
    <xf numFmtId="0" fontId="31" fillId="3" borderId="20" xfId="8" applyFont="1" applyFill="1" applyBorder="1" applyAlignment="1">
      <alignment horizontal="center" vertical="center"/>
    </xf>
    <xf numFmtId="0" fontId="31" fillId="3" borderId="10" xfId="8" applyFont="1" applyFill="1" applyBorder="1" applyAlignment="1">
      <alignment horizontal="center" vertical="center"/>
    </xf>
    <xf numFmtId="0" fontId="31" fillId="3" borderId="19" xfId="8" applyFont="1" applyFill="1" applyBorder="1" applyAlignment="1">
      <alignment horizontal="center" vertical="center"/>
    </xf>
    <xf numFmtId="0" fontId="38" fillId="2" borderId="25" xfId="8" applyFont="1" applyFill="1" applyBorder="1" applyAlignment="1">
      <alignment horizontal="center" vertical="center" wrapText="1"/>
    </xf>
    <xf numFmtId="0" fontId="38" fillId="2" borderId="24" xfId="8" applyFont="1" applyFill="1" applyBorder="1" applyAlignment="1">
      <alignment horizontal="center" vertical="center" wrapText="1"/>
    </xf>
    <xf numFmtId="0" fontId="38" fillId="2" borderId="23" xfId="8" applyFont="1" applyFill="1" applyBorder="1" applyAlignment="1">
      <alignment horizontal="center" vertical="center" wrapText="1"/>
    </xf>
    <xf numFmtId="49" fontId="32" fillId="3" borderId="2" xfId="8" applyNumberFormat="1" applyFont="1" applyFill="1" applyBorder="1" applyAlignment="1">
      <alignment horizontal="center" vertical="center" wrapText="1"/>
    </xf>
    <xf numFmtId="49" fontId="32" fillId="3" borderId="3" xfId="8" applyNumberFormat="1" applyFont="1" applyFill="1" applyBorder="1" applyAlignment="1">
      <alignment horizontal="center" vertical="center" wrapText="1"/>
    </xf>
    <xf numFmtId="49" fontId="32" fillId="3" borderId="18" xfId="8" applyNumberFormat="1" applyFont="1" applyFill="1" applyBorder="1" applyAlignment="1">
      <alignment horizontal="center" vertical="center" wrapText="1"/>
    </xf>
    <xf numFmtId="0" fontId="32" fillId="3" borderId="2" xfId="8" applyFont="1" applyFill="1" applyBorder="1" applyAlignment="1">
      <alignment horizontal="center" vertical="center" wrapText="1"/>
    </xf>
    <xf numFmtId="0" fontId="32" fillId="3" borderId="3" xfId="8" applyFont="1" applyFill="1" applyBorder="1" applyAlignment="1">
      <alignment horizontal="center" vertical="center" wrapText="1"/>
    </xf>
    <xf numFmtId="0" fontId="32" fillId="3" borderId="18" xfId="8" applyFont="1" applyFill="1" applyBorder="1" applyAlignment="1">
      <alignment horizontal="center" vertical="center" wrapText="1"/>
    </xf>
    <xf numFmtId="0" fontId="21" fillId="0" borderId="0" xfId="0" applyFont="1" applyAlignment="1" applyProtection="1">
      <alignment horizontal="center"/>
      <protection hidden="1"/>
    </xf>
    <xf numFmtId="166" fontId="21" fillId="0" borderId="0" xfId="0" applyNumberFormat="1" applyFont="1" applyAlignment="1" applyProtection="1">
      <alignment horizontal="center"/>
      <protection hidden="1"/>
    </xf>
    <xf numFmtId="0" fontId="8" fillId="9" borderId="1" xfId="0" applyFont="1" applyFill="1" applyBorder="1" applyAlignment="1" applyProtection="1">
      <alignment horizontal="center" wrapText="1"/>
      <protection hidden="1"/>
    </xf>
    <xf numFmtId="0" fontId="8" fillId="0" borderId="1" xfId="0" applyFont="1" applyBorder="1" applyAlignment="1" applyProtection="1">
      <alignment horizontal="center"/>
      <protection hidden="1"/>
    </xf>
    <xf numFmtId="0" fontId="13" fillId="0" borderId="1" xfId="0" applyFont="1" applyBorder="1" applyAlignment="1" applyProtection="1">
      <alignment horizontal="center" vertical="center" wrapText="1"/>
      <protection hidden="1"/>
    </xf>
    <xf numFmtId="0" fontId="10" fillId="0" borderId="1" xfId="0" applyFont="1" applyBorder="1" applyAlignment="1" applyProtection="1">
      <alignment horizontal="center"/>
      <protection hidden="1"/>
    </xf>
    <xf numFmtId="0" fontId="9" fillId="0" borderId="1" xfId="0" applyFont="1" applyBorder="1" applyAlignment="1" applyProtection="1">
      <alignment horizontal="center"/>
      <protection hidden="1"/>
    </xf>
    <xf numFmtId="165" fontId="1" fillId="10" borderId="1" xfId="0" applyNumberFormat="1" applyFont="1" applyFill="1" applyBorder="1" applyAlignment="1">
      <alignment horizontal="right"/>
    </xf>
    <xf numFmtId="0" fontId="1" fillId="10" borderId="1" xfId="0" applyFont="1" applyFill="1" applyBorder="1" applyAlignment="1">
      <alignment horizontal="right"/>
    </xf>
    <xf numFmtId="0" fontId="3" fillId="4" borderId="1" xfId="0" applyFont="1" applyFill="1" applyBorder="1" applyAlignment="1">
      <alignment horizontal="center"/>
    </xf>
    <xf numFmtId="0" fontId="1" fillId="10" borderId="1" xfId="0" applyFont="1" applyFill="1" applyBorder="1" applyAlignment="1">
      <alignment horizontal="center"/>
    </xf>
    <xf numFmtId="0" fontId="10" fillId="0" borderId="1" xfId="0" applyFont="1" applyBorder="1" applyAlignment="1" applyProtection="1">
      <alignment horizontal="center" wrapText="1"/>
      <protection hidden="1"/>
    </xf>
    <xf numFmtId="0" fontId="10" fillId="0" borderId="1" xfId="0" applyFont="1" applyBorder="1" applyAlignment="1" applyProtection="1">
      <alignment horizontal="center" vertical="center"/>
      <protection hidden="1"/>
    </xf>
    <xf numFmtId="9" fontId="10" fillId="0" borderId="1" xfId="0" applyNumberFormat="1" applyFont="1" applyBorder="1" applyAlignment="1" applyProtection="1">
      <alignment horizontal="center" vertical="center"/>
      <protection hidden="1"/>
    </xf>
    <xf numFmtId="0" fontId="10" fillId="0" borderId="1" xfId="0" applyFont="1" applyBorder="1" applyAlignment="1" applyProtection="1">
      <alignment horizontal="center" vertical="center" wrapText="1"/>
      <protection hidden="1"/>
    </xf>
    <xf numFmtId="0" fontId="16" fillId="0" borderId="0" xfId="0" applyFont="1" applyAlignment="1">
      <alignment horizontal="left" vertical="top"/>
    </xf>
    <xf numFmtId="0" fontId="16" fillId="3" borderId="0" xfId="0" applyFont="1" applyFill="1" applyAlignment="1">
      <alignment horizontal="left" vertical="top" wrapText="1"/>
    </xf>
    <xf numFmtId="0" fontId="16" fillId="3" borderId="0" xfId="0" applyFont="1" applyFill="1" applyAlignment="1">
      <alignment horizontal="left" wrapText="1"/>
    </xf>
    <xf numFmtId="9" fontId="0" fillId="0" borderId="0" xfId="4" applyFont="1"/>
    <xf numFmtId="0" fontId="0" fillId="0" borderId="0" xfId="0" applyFont="1"/>
    <xf numFmtId="0" fontId="0" fillId="0" borderId="0" xfId="0" applyFont="1" applyAlignment="1">
      <alignment wrapText="1"/>
    </xf>
    <xf numFmtId="0" fontId="42" fillId="0" borderId="0" xfId="0" applyFont="1" applyAlignment="1">
      <alignment vertical="center" wrapText="1"/>
    </xf>
    <xf numFmtId="0" fontId="0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 wrapText="1"/>
    </xf>
  </cellXfs>
  <cellStyles count="9">
    <cellStyle name="Hiperlink" xfId="6" builtinId="8"/>
    <cellStyle name="Moeda" xfId="3" builtinId="4"/>
    <cellStyle name="Normal" xfId="0" builtinId="0"/>
    <cellStyle name="Normal 2" xfId="5"/>
    <cellStyle name="Normal 4" xfId="8"/>
    <cellStyle name="Normal 5" xfId="7"/>
    <cellStyle name="Normal_PLANILHA%20DE%20COMPOSIÇÃO%20DE%20CUSTO%20UNITARIO%20semed%202013%20helber(1)" xfId="2"/>
    <cellStyle name="Porcentagem" xfId="4" builtinId="5"/>
    <cellStyle name="Vírgula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0</xdr:rowOff>
    </xdr:from>
    <xdr:to>
      <xdr:col>1</xdr:col>
      <xdr:colOff>626969</xdr:colOff>
      <xdr:row>6</xdr:row>
      <xdr:rowOff>180975</xdr:rowOff>
    </xdr:to>
    <xdr:pic>
      <xdr:nvPicPr>
        <xdr:cNvPr id="2" name="Imagem 4" descr="brasao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0"/>
          <a:ext cx="11906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0</xdr:rowOff>
    </xdr:from>
    <xdr:to>
      <xdr:col>1</xdr:col>
      <xdr:colOff>638175</xdr:colOff>
      <xdr:row>6</xdr:row>
      <xdr:rowOff>180975</xdr:rowOff>
    </xdr:to>
    <xdr:pic>
      <xdr:nvPicPr>
        <xdr:cNvPr id="2" name="Imagem 4" descr="brasao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0"/>
          <a:ext cx="11906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0</xdr:rowOff>
    </xdr:from>
    <xdr:to>
      <xdr:col>1</xdr:col>
      <xdr:colOff>638175</xdr:colOff>
      <xdr:row>6</xdr:row>
      <xdr:rowOff>180975</xdr:rowOff>
    </xdr:to>
    <xdr:pic>
      <xdr:nvPicPr>
        <xdr:cNvPr id="2" name="Imagem 4" descr="brasao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0"/>
          <a:ext cx="11906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0</xdr:rowOff>
    </xdr:from>
    <xdr:to>
      <xdr:col>1</xdr:col>
      <xdr:colOff>638175</xdr:colOff>
      <xdr:row>6</xdr:row>
      <xdr:rowOff>180975</xdr:rowOff>
    </xdr:to>
    <xdr:pic>
      <xdr:nvPicPr>
        <xdr:cNvPr id="2" name="Imagem 4" descr="brasao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0"/>
          <a:ext cx="11906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0</xdr:rowOff>
    </xdr:from>
    <xdr:to>
      <xdr:col>1</xdr:col>
      <xdr:colOff>638175</xdr:colOff>
      <xdr:row>6</xdr:row>
      <xdr:rowOff>180975</xdr:rowOff>
    </xdr:to>
    <xdr:pic>
      <xdr:nvPicPr>
        <xdr:cNvPr id="2" name="Imagem 4" descr="brasao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0"/>
          <a:ext cx="11906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0</xdr:rowOff>
    </xdr:from>
    <xdr:to>
      <xdr:col>1</xdr:col>
      <xdr:colOff>638175</xdr:colOff>
      <xdr:row>6</xdr:row>
      <xdr:rowOff>180975</xdr:rowOff>
    </xdr:to>
    <xdr:pic>
      <xdr:nvPicPr>
        <xdr:cNvPr id="2" name="Imagem 4" descr="brasao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0"/>
          <a:ext cx="11906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0</xdr:rowOff>
    </xdr:from>
    <xdr:to>
      <xdr:col>1</xdr:col>
      <xdr:colOff>638175</xdr:colOff>
      <xdr:row>6</xdr:row>
      <xdr:rowOff>180975</xdr:rowOff>
    </xdr:to>
    <xdr:pic>
      <xdr:nvPicPr>
        <xdr:cNvPr id="2" name="Imagem 4" descr="brasao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0"/>
          <a:ext cx="11906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0</xdr:rowOff>
    </xdr:from>
    <xdr:to>
      <xdr:col>1</xdr:col>
      <xdr:colOff>638175</xdr:colOff>
      <xdr:row>6</xdr:row>
      <xdr:rowOff>180975</xdr:rowOff>
    </xdr:to>
    <xdr:pic>
      <xdr:nvPicPr>
        <xdr:cNvPr id="2" name="Imagem 4" descr="brasao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0"/>
          <a:ext cx="11906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0</xdr:rowOff>
    </xdr:from>
    <xdr:to>
      <xdr:col>1</xdr:col>
      <xdr:colOff>638175</xdr:colOff>
      <xdr:row>6</xdr:row>
      <xdr:rowOff>180975</xdr:rowOff>
    </xdr:to>
    <xdr:pic>
      <xdr:nvPicPr>
        <xdr:cNvPr id="2" name="Imagem 4" descr="brasao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0"/>
          <a:ext cx="11906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0</xdr:rowOff>
    </xdr:from>
    <xdr:to>
      <xdr:col>1</xdr:col>
      <xdr:colOff>638175</xdr:colOff>
      <xdr:row>6</xdr:row>
      <xdr:rowOff>180975</xdr:rowOff>
    </xdr:to>
    <xdr:pic>
      <xdr:nvPicPr>
        <xdr:cNvPr id="2" name="Imagem 4" descr="brasao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0"/>
          <a:ext cx="11906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0</xdr:rowOff>
    </xdr:from>
    <xdr:to>
      <xdr:col>1</xdr:col>
      <xdr:colOff>638175</xdr:colOff>
      <xdr:row>6</xdr:row>
      <xdr:rowOff>180975</xdr:rowOff>
    </xdr:to>
    <xdr:pic>
      <xdr:nvPicPr>
        <xdr:cNvPr id="2" name="Imagem 4" descr="brasao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0"/>
          <a:ext cx="11906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0</xdr:rowOff>
    </xdr:from>
    <xdr:to>
      <xdr:col>1</xdr:col>
      <xdr:colOff>638175</xdr:colOff>
      <xdr:row>6</xdr:row>
      <xdr:rowOff>180975</xdr:rowOff>
    </xdr:to>
    <xdr:pic>
      <xdr:nvPicPr>
        <xdr:cNvPr id="2" name="Imagem 4" descr="brasao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0"/>
          <a:ext cx="11906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0</xdr:rowOff>
    </xdr:from>
    <xdr:to>
      <xdr:col>1</xdr:col>
      <xdr:colOff>638175</xdr:colOff>
      <xdr:row>6</xdr:row>
      <xdr:rowOff>180975</xdr:rowOff>
    </xdr:to>
    <xdr:pic>
      <xdr:nvPicPr>
        <xdr:cNvPr id="2" name="Imagem 4" descr="brasao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0"/>
          <a:ext cx="11906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0</xdr:rowOff>
    </xdr:from>
    <xdr:to>
      <xdr:col>1</xdr:col>
      <xdr:colOff>638175</xdr:colOff>
      <xdr:row>6</xdr:row>
      <xdr:rowOff>180975</xdr:rowOff>
    </xdr:to>
    <xdr:pic>
      <xdr:nvPicPr>
        <xdr:cNvPr id="2" name="Imagem 4" descr="brasao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0"/>
          <a:ext cx="11906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0</xdr:rowOff>
    </xdr:from>
    <xdr:to>
      <xdr:col>1</xdr:col>
      <xdr:colOff>638175</xdr:colOff>
      <xdr:row>6</xdr:row>
      <xdr:rowOff>180975</xdr:rowOff>
    </xdr:to>
    <xdr:pic>
      <xdr:nvPicPr>
        <xdr:cNvPr id="2" name="Imagem 4" descr="brasao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0"/>
          <a:ext cx="11906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0</xdr:rowOff>
    </xdr:from>
    <xdr:to>
      <xdr:col>1</xdr:col>
      <xdr:colOff>638175</xdr:colOff>
      <xdr:row>6</xdr:row>
      <xdr:rowOff>180975</xdr:rowOff>
    </xdr:to>
    <xdr:pic>
      <xdr:nvPicPr>
        <xdr:cNvPr id="2" name="Imagem 4" descr="brasao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0"/>
          <a:ext cx="11906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0</xdr:rowOff>
    </xdr:from>
    <xdr:to>
      <xdr:col>1</xdr:col>
      <xdr:colOff>638175</xdr:colOff>
      <xdr:row>6</xdr:row>
      <xdr:rowOff>180975</xdr:rowOff>
    </xdr:to>
    <xdr:pic>
      <xdr:nvPicPr>
        <xdr:cNvPr id="2" name="Imagem 4" descr="brasao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0"/>
          <a:ext cx="11906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0</xdr:rowOff>
    </xdr:from>
    <xdr:to>
      <xdr:col>1</xdr:col>
      <xdr:colOff>638175</xdr:colOff>
      <xdr:row>6</xdr:row>
      <xdr:rowOff>180975</xdr:rowOff>
    </xdr:to>
    <xdr:pic>
      <xdr:nvPicPr>
        <xdr:cNvPr id="2" name="Imagem 4" descr="brasao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0"/>
          <a:ext cx="11906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0</xdr:rowOff>
    </xdr:from>
    <xdr:to>
      <xdr:col>1</xdr:col>
      <xdr:colOff>638175</xdr:colOff>
      <xdr:row>6</xdr:row>
      <xdr:rowOff>180975</xdr:rowOff>
    </xdr:to>
    <xdr:pic>
      <xdr:nvPicPr>
        <xdr:cNvPr id="2" name="Imagem 4" descr="brasao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0"/>
          <a:ext cx="11906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0</xdr:rowOff>
    </xdr:from>
    <xdr:to>
      <xdr:col>1</xdr:col>
      <xdr:colOff>638175</xdr:colOff>
      <xdr:row>6</xdr:row>
      <xdr:rowOff>180975</xdr:rowOff>
    </xdr:to>
    <xdr:pic>
      <xdr:nvPicPr>
        <xdr:cNvPr id="2" name="Imagem 4" descr="brasao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0"/>
          <a:ext cx="11906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0</xdr:rowOff>
    </xdr:from>
    <xdr:to>
      <xdr:col>1</xdr:col>
      <xdr:colOff>638175</xdr:colOff>
      <xdr:row>6</xdr:row>
      <xdr:rowOff>180975</xdr:rowOff>
    </xdr:to>
    <xdr:pic>
      <xdr:nvPicPr>
        <xdr:cNvPr id="2" name="Imagem 4" descr="brasao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0"/>
          <a:ext cx="11906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0</xdr:rowOff>
    </xdr:from>
    <xdr:to>
      <xdr:col>1</xdr:col>
      <xdr:colOff>638175</xdr:colOff>
      <xdr:row>6</xdr:row>
      <xdr:rowOff>180975</xdr:rowOff>
    </xdr:to>
    <xdr:pic>
      <xdr:nvPicPr>
        <xdr:cNvPr id="2" name="Imagem 4" descr="brasao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0"/>
          <a:ext cx="11906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0</xdr:rowOff>
    </xdr:from>
    <xdr:to>
      <xdr:col>1</xdr:col>
      <xdr:colOff>638175</xdr:colOff>
      <xdr:row>6</xdr:row>
      <xdr:rowOff>180975</xdr:rowOff>
    </xdr:to>
    <xdr:pic>
      <xdr:nvPicPr>
        <xdr:cNvPr id="2" name="Imagem 4" descr="brasao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0"/>
          <a:ext cx="11906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0</xdr:rowOff>
    </xdr:from>
    <xdr:to>
      <xdr:col>1</xdr:col>
      <xdr:colOff>638175</xdr:colOff>
      <xdr:row>6</xdr:row>
      <xdr:rowOff>180975</xdr:rowOff>
    </xdr:to>
    <xdr:pic>
      <xdr:nvPicPr>
        <xdr:cNvPr id="2" name="Imagem 4" descr="brasao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0"/>
          <a:ext cx="11906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0</xdr:rowOff>
    </xdr:from>
    <xdr:to>
      <xdr:col>1</xdr:col>
      <xdr:colOff>638175</xdr:colOff>
      <xdr:row>6</xdr:row>
      <xdr:rowOff>180975</xdr:rowOff>
    </xdr:to>
    <xdr:pic>
      <xdr:nvPicPr>
        <xdr:cNvPr id="2" name="Imagem 4" descr="brasao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0"/>
          <a:ext cx="11906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0</xdr:rowOff>
    </xdr:from>
    <xdr:to>
      <xdr:col>1</xdr:col>
      <xdr:colOff>638175</xdr:colOff>
      <xdr:row>6</xdr:row>
      <xdr:rowOff>180975</xdr:rowOff>
    </xdr:to>
    <xdr:pic>
      <xdr:nvPicPr>
        <xdr:cNvPr id="2" name="Imagem 4" descr="brasao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0"/>
          <a:ext cx="11906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0</xdr:rowOff>
    </xdr:from>
    <xdr:to>
      <xdr:col>1</xdr:col>
      <xdr:colOff>638175</xdr:colOff>
      <xdr:row>6</xdr:row>
      <xdr:rowOff>180975</xdr:rowOff>
    </xdr:to>
    <xdr:pic>
      <xdr:nvPicPr>
        <xdr:cNvPr id="2" name="Imagem 4" descr="brasao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0"/>
          <a:ext cx="11906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0</xdr:rowOff>
    </xdr:from>
    <xdr:to>
      <xdr:col>1</xdr:col>
      <xdr:colOff>638175</xdr:colOff>
      <xdr:row>6</xdr:row>
      <xdr:rowOff>180975</xdr:rowOff>
    </xdr:to>
    <xdr:pic>
      <xdr:nvPicPr>
        <xdr:cNvPr id="2" name="Imagem 4" descr="brasao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0"/>
          <a:ext cx="11906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0</xdr:rowOff>
    </xdr:from>
    <xdr:to>
      <xdr:col>1</xdr:col>
      <xdr:colOff>638175</xdr:colOff>
      <xdr:row>6</xdr:row>
      <xdr:rowOff>180975</xdr:rowOff>
    </xdr:to>
    <xdr:pic>
      <xdr:nvPicPr>
        <xdr:cNvPr id="2" name="Imagem 4" descr="brasao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0"/>
          <a:ext cx="11906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0</xdr:colOff>
      <xdr:row>6</xdr:row>
      <xdr:rowOff>57150</xdr:rowOff>
    </xdr:to>
    <xdr:pic>
      <xdr:nvPicPr>
        <xdr:cNvPr id="2" name="Imagem 4" descr="brasao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0967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openxmlformats.org/officeDocument/2006/relationships/hyperlink" Target="../../../AppData/Local/Temp/17%20Instrucao%20Normativa%2002_2008%20Servicos%20Continuados/0%20LEGISLACAO%20GERAL/IN%2003_2005%20MSP_SRP/AnexoII_IN03.rtf" TargetMode="External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hyperlink" Target="../../../AppData/Local/Temp/17%20Instrucao%20Normativa%2002_2008%20Servicos%20Continuados/0%20LEGISLACAO%20GERAL/IN%2003_2005%20MSP_SRP/AnexoII_IN03.rtf" TargetMode="External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3.bin"/><Relationship Id="rId4" Type="http://schemas.openxmlformats.org/officeDocument/2006/relationships/comments" Target="../comments1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41"/>
  <sheetViews>
    <sheetView tabSelected="1" topLeftCell="A21" zoomScaleNormal="100" workbookViewId="0">
      <selection activeCell="A57" sqref="A57"/>
    </sheetView>
  </sheetViews>
  <sheetFormatPr defaultRowHeight="15" x14ac:dyDescent="0.25"/>
  <cols>
    <col min="1" max="1" width="34.7109375" bestFit="1" customWidth="1"/>
    <col min="2" max="2" width="11.140625" hidden="1" customWidth="1"/>
    <col min="3" max="4" width="19.5703125" bestFit="1" customWidth="1"/>
    <col min="5" max="5" width="14.7109375" bestFit="1" customWidth="1"/>
    <col min="6" max="6" width="15.140625" bestFit="1" customWidth="1"/>
    <col min="7" max="8" width="14.7109375" bestFit="1" customWidth="1"/>
    <col min="9" max="9" width="11.7109375" bestFit="1" customWidth="1"/>
    <col min="10" max="10" width="10.42578125" customWidth="1"/>
    <col min="13" max="13" width="11.7109375" bestFit="1" customWidth="1"/>
  </cols>
  <sheetData>
    <row r="1" spans="1:14" ht="18.75" x14ac:dyDescent="0.3">
      <c r="A1" s="182" t="s">
        <v>353</v>
      </c>
      <c r="B1" s="182"/>
      <c r="C1" s="182"/>
      <c r="D1" s="182"/>
      <c r="E1" s="182"/>
      <c r="F1" s="182"/>
      <c r="G1" s="182"/>
      <c r="H1" s="182"/>
      <c r="I1" s="182"/>
    </row>
    <row r="2" spans="1:14" ht="18.75" x14ac:dyDescent="0.3">
      <c r="A2" s="182" t="s">
        <v>354</v>
      </c>
      <c r="B2" s="182"/>
      <c r="C2" s="182"/>
      <c r="D2" s="182"/>
      <c r="E2" s="182"/>
      <c r="F2" s="182"/>
      <c r="G2" s="182"/>
      <c r="H2" s="182"/>
      <c r="I2" s="182"/>
    </row>
    <row r="4" spans="1:14" ht="18.75" x14ac:dyDescent="0.3">
      <c r="A4" s="182" t="s">
        <v>355</v>
      </c>
      <c r="B4" s="182"/>
      <c r="C4" s="182"/>
      <c r="D4" s="182"/>
      <c r="E4" s="182"/>
      <c r="F4" s="182"/>
      <c r="G4" s="182"/>
      <c r="H4" s="182"/>
      <c r="I4" s="182"/>
    </row>
    <row r="5" spans="1:14" ht="18.75" x14ac:dyDescent="0.3">
      <c r="A5" s="167"/>
      <c r="B5" s="167"/>
      <c r="C5" s="167"/>
      <c r="D5" s="167"/>
      <c r="E5" s="167"/>
      <c r="F5" s="167"/>
      <c r="G5" s="167"/>
      <c r="H5" s="167"/>
      <c r="I5" s="167"/>
    </row>
    <row r="6" spans="1:14" s="179" customFormat="1" ht="18.75" x14ac:dyDescent="0.3">
      <c r="A6" s="182" t="s">
        <v>339</v>
      </c>
      <c r="B6" s="182"/>
      <c r="C6" s="182"/>
      <c r="D6" s="182"/>
      <c r="E6" s="182"/>
      <c r="F6" s="182"/>
      <c r="G6" s="182"/>
      <c r="H6" s="182"/>
      <c r="I6" s="182"/>
    </row>
    <row r="7" spans="1:14" x14ac:dyDescent="0.25">
      <c r="G7" s="183" t="s">
        <v>360</v>
      </c>
      <c r="H7" s="183"/>
      <c r="I7" s="181">
        <v>46311</v>
      </c>
    </row>
    <row r="8" spans="1:14" s="28" customFormat="1" ht="60" x14ac:dyDescent="0.25">
      <c r="A8" s="132" t="s">
        <v>287</v>
      </c>
      <c r="B8" s="132" t="s">
        <v>288</v>
      </c>
      <c r="C8" s="132" t="s">
        <v>289</v>
      </c>
      <c r="D8" s="132" t="s">
        <v>290</v>
      </c>
      <c r="E8" s="132" t="s">
        <v>291</v>
      </c>
      <c r="F8" s="132" t="s">
        <v>292</v>
      </c>
      <c r="G8" s="132" t="s">
        <v>337</v>
      </c>
      <c r="H8" s="132" t="s">
        <v>338</v>
      </c>
      <c r="I8" s="132" t="s">
        <v>336</v>
      </c>
    </row>
    <row r="9" spans="1:14" x14ac:dyDescent="0.25">
      <c r="A9" s="133" t="str">
        <f ca="1">MID(CELL("nome.arquivo",'188 SUL-DURAN-TANCREDO-MAT'!$A$1),SEARCH("]",CELL("nome.arquivo",'188 SUL-DURAN-TANCREDO-MAT'!$A$1))+1,255)</f>
        <v>188 SUL-DURAN-TANCREDO-MAT</v>
      </c>
      <c r="B9" s="133"/>
      <c r="C9" s="134">
        <f t="shared" ref="C9:C23" ca="1" si="0">INDIRECT("'"&amp;$A9&amp;"'!$O$14")</f>
        <v>958.44</v>
      </c>
      <c r="D9" s="134">
        <f t="shared" ref="D9:D23" ca="1" si="1">INDIRECT("'"&amp;$A9&amp;"'!$O$16")</f>
        <v>630</v>
      </c>
      <c r="E9" s="134">
        <f t="shared" ref="E9:E23" ca="1" si="2">INDIRECT("'"&amp;$A9&amp;"'!$R$15")</f>
        <v>19.76342612584569</v>
      </c>
      <c r="F9" s="134">
        <f t="shared" ref="F9:F23" ca="1" si="3">INDIRECT("'"&amp;$A9&amp;"'!$S$15")</f>
        <v>20.493216830195536</v>
      </c>
      <c r="G9" s="134">
        <f t="shared" ref="G9:G21" ca="1" si="4">C9*E9</f>
        <v>18942.058136055544</v>
      </c>
      <c r="H9" s="134">
        <f t="shared" ref="H9:H21" ca="1" si="5">D9*F9</f>
        <v>12910.726603023188</v>
      </c>
      <c r="I9" s="134">
        <f t="shared" ref="I9:I21" ca="1" si="6">H9+G9</f>
        <v>31852.784739078732</v>
      </c>
      <c r="L9" s="93"/>
      <c r="M9" s="93"/>
      <c r="N9" s="135"/>
    </row>
    <row r="10" spans="1:14" x14ac:dyDescent="0.25">
      <c r="A10" s="133" t="str">
        <f ca="1">MID(CELL("nome.arquivo",'188 SUL-DURAN-MAT'!$A$1),SEARCH("]",CELL("nome.arquivo",'188 SUL-DURAN-MAT'!$A$1))+1,255)</f>
        <v>188 SUL-DURAN-MAT</v>
      </c>
      <c r="B10" s="133"/>
      <c r="C10" s="134">
        <f t="shared" ca="1" si="0"/>
        <v>757.68</v>
      </c>
      <c r="D10" s="134">
        <f t="shared" ca="1" si="1"/>
        <v>1176</v>
      </c>
      <c r="E10" s="134">
        <f t="shared" ca="1" si="2"/>
        <v>17.275486346551247</v>
      </c>
      <c r="F10" s="134">
        <f t="shared" ca="1" si="3"/>
        <v>18.005277050901093</v>
      </c>
      <c r="G10" s="134">
        <f t="shared" ref="G10" ca="1" si="7">C10*E10</f>
        <v>13089.290495054947</v>
      </c>
      <c r="H10" s="134">
        <f t="shared" ref="H10" ca="1" si="8">D10*F10</f>
        <v>21174.205811859683</v>
      </c>
      <c r="I10" s="134">
        <f t="shared" ref="I10" ca="1" si="9">H10+G10</f>
        <v>34263.496306914632</v>
      </c>
      <c r="L10" s="93"/>
      <c r="M10" s="93"/>
      <c r="N10" s="135"/>
    </row>
    <row r="11" spans="1:14" x14ac:dyDescent="0.25">
      <c r="A11" s="133" t="str">
        <f ca="1">MID(CELL("nome.arquivo",'172 SUL-VERISSIMO-TANC-MAT-VESP'!$A$1),SEARCH("]",CELL("nome.arquivo",'172 SUL-VERISSIMO-TANC-MAT-VESP'!$A$1))+1,255)</f>
        <v>172 SUL-VERISSIMO-TANC-MAT-VESP</v>
      </c>
      <c r="B11" s="133"/>
      <c r="C11" s="134">
        <f t="shared" ca="1" si="0"/>
        <v>1161.72</v>
      </c>
      <c r="D11" s="134">
        <f t="shared" ca="1" si="1"/>
        <v>1260</v>
      </c>
      <c r="E11" s="134">
        <f t="shared" ca="1" si="2"/>
        <v>14.933645995542522</v>
      </c>
      <c r="F11" s="134">
        <f t="shared" ca="1" si="3"/>
        <v>15.663436699892364</v>
      </c>
      <c r="G11" s="134">
        <f t="shared" ca="1" si="4"/>
        <v>17348.715225941658</v>
      </c>
      <c r="H11" s="134">
        <f t="shared" ca="1" si="5"/>
        <v>19735.930241864378</v>
      </c>
      <c r="I11" s="134">
        <f t="shared" ca="1" si="6"/>
        <v>37084.64546780604</v>
      </c>
      <c r="L11" s="93"/>
      <c r="M11" s="93"/>
      <c r="N11" s="135"/>
    </row>
    <row r="12" spans="1:14" x14ac:dyDescent="0.25">
      <c r="A12" s="133" t="str">
        <f ca="1">MID(CELL("nome.arquivo",'172 SUL-VERISSIMO-MAT'!$A$1),SEARCH("]",CELL("nome.arquivo",'172 SUL-VERISSIMO-MAT'!$A$1))+1,255)</f>
        <v>172 SUL-VERISSIMO-MAT</v>
      </c>
      <c r="B12" s="133"/>
      <c r="C12" s="134">
        <f t="shared" ca="1" si="0"/>
        <v>180.6</v>
      </c>
      <c r="D12" s="134">
        <f t="shared" ca="1" si="1"/>
        <v>1062.6000000000001</v>
      </c>
      <c r="E12" s="134">
        <f t="shared" ca="1" si="2"/>
        <v>23.730128683089696</v>
      </c>
      <c r="F12" s="134">
        <f t="shared" ca="1" si="3"/>
        <v>24.459919387439538</v>
      </c>
      <c r="G12" s="134">
        <f t="shared" ref="G12" ca="1" si="10">C12*E12</f>
        <v>4285.6612401659986</v>
      </c>
      <c r="H12" s="134">
        <f t="shared" ref="H12" ca="1" si="11">D12*F12</f>
        <v>25991.110341093256</v>
      </c>
      <c r="I12" s="134">
        <f t="shared" ref="I12" ca="1" si="12">H12+G12</f>
        <v>30276.771581259254</v>
      </c>
      <c r="L12" s="93"/>
      <c r="M12" s="93"/>
      <c r="N12" s="135"/>
    </row>
    <row r="13" spans="1:14" x14ac:dyDescent="0.25">
      <c r="A13" s="133" t="str">
        <f ca="1">MID(CELL("nome.arquivo",'164 SUL-VERISSIMO MAT-VESP'!$A$1),SEARCH("]",CELL("nome.arquivo",'164 SUL-VERISSIMO MAT-VESP'!$A$1))+1,255)</f>
        <v>164 SUL-VERISSIMO MAT-VESP</v>
      </c>
      <c r="B13" s="133"/>
      <c r="C13" s="134">
        <f t="shared" ca="1" si="0"/>
        <v>942.48</v>
      </c>
      <c r="D13" s="134">
        <f t="shared" ca="1" si="1"/>
        <v>1260</v>
      </c>
      <c r="E13" s="134">
        <f t="shared" ca="1" si="2"/>
        <v>15.859378150749576</v>
      </c>
      <c r="F13" s="134">
        <f t="shared" ca="1" si="3"/>
        <v>16.589168855099423</v>
      </c>
      <c r="G13" s="134">
        <f t="shared" ca="1" si="4"/>
        <v>14947.146719518461</v>
      </c>
      <c r="H13" s="134">
        <f t="shared" ca="1" si="5"/>
        <v>20902.352757425273</v>
      </c>
      <c r="I13" s="134">
        <f t="shared" ca="1" si="6"/>
        <v>35849.499476943733</v>
      </c>
      <c r="L13" s="93"/>
      <c r="M13" s="93"/>
      <c r="N13" s="135"/>
    </row>
    <row r="14" spans="1:14" x14ac:dyDescent="0.25">
      <c r="A14" s="133" t="str">
        <f ca="1">MID(CELL("nome.arquivo",'160 SUL VERISSIMO MAT'!$A$1),SEARCH("]",CELL("nome.arquivo",'160 SUL VERISSIMO MAT'!$A$1))+1,255)</f>
        <v>160 SUL VERISSIMO MAT</v>
      </c>
      <c r="B14" s="133"/>
      <c r="C14" s="134">
        <f t="shared" ca="1" si="0"/>
        <v>684.6</v>
      </c>
      <c r="D14" s="134">
        <f t="shared" ca="1" si="1"/>
        <v>588</v>
      </c>
      <c r="E14" s="134">
        <f t="shared" ca="1" si="2"/>
        <v>23.266129525668127</v>
      </c>
      <c r="F14" s="134">
        <f t="shared" ca="1" si="3"/>
        <v>23.995920230017969</v>
      </c>
      <c r="G14" s="134">
        <f t="shared" ca="1" si="4"/>
        <v>15927.992273272401</v>
      </c>
      <c r="H14" s="134">
        <f t="shared" ca="1" si="5"/>
        <v>14109.601095250566</v>
      </c>
      <c r="I14" s="134">
        <f t="shared" ca="1" si="6"/>
        <v>30037.593368522968</v>
      </c>
      <c r="L14" s="93"/>
      <c r="M14" s="93"/>
      <c r="N14" s="135"/>
    </row>
    <row r="15" spans="1:14" x14ac:dyDescent="0.25">
      <c r="A15" s="133" t="str">
        <f ca="1">MID(CELL("nome.arquivo",'168 NORTE-VERÍSSIMO-MAT-VESP'!$A$1),SEARCH("]",CELL("nome.arquivo",'168 NORTE-VERÍSSIMO-MAT-VESP'!$A$1))+1,255)</f>
        <v>168 NORTE-VERÍSSIMO-MAT-VESP</v>
      </c>
      <c r="B15" s="133"/>
      <c r="C15" s="134">
        <f t="shared" ca="1" si="0"/>
        <v>692.16</v>
      </c>
      <c r="D15" s="134">
        <f t="shared" ca="1" si="1"/>
        <v>1260</v>
      </c>
      <c r="E15" s="134">
        <f t="shared" ca="1" si="2"/>
        <v>17.17058021587652</v>
      </c>
      <c r="F15" s="134">
        <f t="shared" ca="1" si="3"/>
        <v>17.900370920226361</v>
      </c>
      <c r="G15" s="134">
        <f t="shared" ca="1" si="4"/>
        <v>11884.788802221092</v>
      </c>
      <c r="H15" s="134">
        <f t="shared" ca="1" si="5"/>
        <v>22554.467359485214</v>
      </c>
      <c r="I15" s="134">
        <f t="shared" ca="1" si="6"/>
        <v>34439.256161706304</v>
      </c>
      <c r="L15" s="93"/>
      <c r="M15" s="93"/>
      <c r="N15" s="135"/>
    </row>
    <row r="16" spans="1:14" x14ac:dyDescent="0.25">
      <c r="A16" s="133" t="str">
        <f ca="1">MID(CELL("nome.arquivo",'168 SUL-VERÍSSIMO-MAT-VESP'!$A$1),SEARCH("]",CELL("nome.arquivo",'168 SUL-VERÍSSIMO-MAT-VESP'!$A$1))+1,255)</f>
        <v>168 SUL-VERÍSSIMO-MAT-VESP</v>
      </c>
      <c r="B16" s="133"/>
      <c r="C16" s="134">
        <f t="shared" ca="1" si="0"/>
        <v>692.16</v>
      </c>
      <c r="D16" s="134">
        <f t="shared" ca="1" si="1"/>
        <v>1260</v>
      </c>
      <c r="E16" s="134">
        <f t="shared" ca="1" si="2"/>
        <v>17.17058021587652</v>
      </c>
      <c r="F16" s="134">
        <f t="shared" ca="1" si="3"/>
        <v>17.900370920226361</v>
      </c>
      <c r="G16" s="134">
        <f t="shared" ca="1" si="4"/>
        <v>11884.788802221092</v>
      </c>
      <c r="H16" s="134">
        <f t="shared" ca="1" si="5"/>
        <v>22554.467359485214</v>
      </c>
      <c r="I16" s="134">
        <f t="shared" ca="1" si="6"/>
        <v>34439.256161706304</v>
      </c>
      <c r="L16" s="93"/>
      <c r="M16" s="93"/>
      <c r="N16" s="135"/>
    </row>
    <row r="17" spans="1:14" x14ac:dyDescent="0.25">
      <c r="A17" s="133" t="str">
        <f ca="1">MID(CELL("nome.arquivo",'172 NORTE-VERISSIMO-MAT-VESP'!$A$1),SEARCH("]",CELL("nome.arquivo",'172 NORTE-VERISSIMO-MAT-VESP'!$A$1))+1,255)</f>
        <v>172 NORTE-VERISSIMO-MAT-VESP</v>
      </c>
      <c r="B17" s="133"/>
      <c r="C17" s="134">
        <f t="shared" ca="1" si="0"/>
        <v>355.32000000000005</v>
      </c>
      <c r="D17" s="134">
        <f t="shared" ca="1" si="1"/>
        <v>1428</v>
      </c>
      <c r="E17" s="134">
        <f t="shared" ca="1" si="2"/>
        <v>18.27445804258781</v>
      </c>
      <c r="F17" s="134">
        <f t="shared" ca="1" si="3"/>
        <v>19.004248746937655</v>
      </c>
      <c r="G17" s="134">
        <f t="shared" ca="1" si="4"/>
        <v>6493.2804316923011</v>
      </c>
      <c r="H17" s="134">
        <f t="shared" ca="1" si="5"/>
        <v>27138.06721062697</v>
      </c>
      <c r="I17" s="134">
        <f t="shared" ca="1" si="6"/>
        <v>33631.34764231927</v>
      </c>
      <c r="L17" s="93"/>
      <c r="M17" s="93"/>
      <c r="N17" s="135"/>
    </row>
    <row r="18" spans="1:14" x14ac:dyDescent="0.25">
      <c r="A18" s="133" t="str">
        <f ca="1">MID(CELL("nome.arquivo",'176 NORTE MAT-VESP'!$A$1),SEARCH("]",CELL("nome.arquivo",'176 NORTE MAT-VESP'!$A$1))+1,255)</f>
        <v>176 NORTE MAT-VESP</v>
      </c>
      <c r="B18" s="133"/>
      <c r="C18" s="134">
        <f t="shared" ca="1" si="0"/>
        <v>0</v>
      </c>
      <c r="D18" s="134">
        <f t="shared" ca="1" si="1"/>
        <v>1386</v>
      </c>
      <c r="E18" s="134">
        <f t="shared" ca="1" si="2"/>
        <v>0</v>
      </c>
      <c r="F18" s="134">
        <f t="shared" ca="1" si="3"/>
        <v>22.624182785204624</v>
      </c>
      <c r="G18" s="134">
        <f t="shared" ca="1" si="4"/>
        <v>0</v>
      </c>
      <c r="H18" s="134">
        <f t="shared" ca="1" si="5"/>
        <v>31357.117340293607</v>
      </c>
      <c r="I18" s="134">
        <f t="shared" ca="1" si="6"/>
        <v>31357.117340293607</v>
      </c>
      <c r="L18" s="93"/>
      <c r="M18" s="93"/>
      <c r="N18" s="135"/>
    </row>
    <row r="19" spans="1:14" x14ac:dyDescent="0.25">
      <c r="A19" s="133" t="str">
        <f ca="1">MID(CELL("nome.arquivo",'176 SUL MAT-VESP'!$A$1),SEARCH("]",CELL("nome.arquivo",'176 SUL MAT-VESP'!$A$1))+1,255)</f>
        <v>176 SUL MAT-VESP</v>
      </c>
      <c r="B19" s="133"/>
      <c r="C19" s="134">
        <f t="shared" ca="1" si="0"/>
        <v>0</v>
      </c>
      <c r="D19" s="134">
        <f t="shared" ca="1" si="1"/>
        <v>1344</v>
      </c>
      <c r="E19" s="134">
        <f t="shared" ca="1" si="2"/>
        <v>0</v>
      </c>
      <c r="F19" s="134">
        <f t="shared" ca="1" si="3"/>
        <v>23.128478696641487</v>
      </c>
      <c r="G19" s="134">
        <f t="shared" ca="1" si="4"/>
        <v>0</v>
      </c>
      <c r="H19" s="134">
        <f t="shared" ca="1" si="5"/>
        <v>31084.67536828616</v>
      </c>
      <c r="I19" s="134">
        <f t="shared" ca="1" si="6"/>
        <v>31084.67536828616</v>
      </c>
      <c r="L19" s="93"/>
      <c r="M19" s="93"/>
      <c r="N19" s="135"/>
    </row>
    <row r="20" spans="1:14" x14ac:dyDescent="0.25">
      <c r="A20" s="133" t="str">
        <f ca="1">MID(CELL("nome.arquivo",'180 NORTE-VERIS-CTPM-MAT-VESP'!$A$1),SEARCH("]",CELL("nome.arquivo",'180 NORTE-VERIS-CTPM-MAT-VESP'!$A$1))+1,255)</f>
        <v>180 NORTE-VERIS-CTPM-MAT-VESP</v>
      </c>
      <c r="B20" s="133"/>
      <c r="C20" s="134">
        <f t="shared" ca="1" si="0"/>
        <v>911.4</v>
      </c>
      <c r="D20" s="134">
        <f t="shared" ca="1" si="1"/>
        <v>1428</v>
      </c>
      <c r="E20" s="134">
        <f t="shared" ca="1" si="2"/>
        <v>15.269739640414983</v>
      </c>
      <c r="F20" s="134">
        <f t="shared" ca="1" si="3"/>
        <v>15.999530344764828</v>
      </c>
      <c r="G20" s="134">
        <f t="shared" ca="1" si="4"/>
        <v>13916.840708274214</v>
      </c>
      <c r="H20" s="134">
        <f t="shared" ca="1" si="5"/>
        <v>22847.329332324174</v>
      </c>
      <c r="I20" s="134">
        <f t="shared" ca="1" si="6"/>
        <v>36764.170040598387</v>
      </c>
      <c r="L20" s="93"/>
      <c r="M20" s="93"/>
      <c r="N20" s="135"/>
    </row>
    <row r="21" spans="1:14" x14ac:dyDescent="0.25">
      <c r="A21" s="133" t="str">
        <f ca="1">MID(CELL("nome.arquivo",'180 SUL-VERIS-TANC-APF-MAT-VESP'!$A$1),SEARCH("]",CELL("nome.arquivo",'180 SUL-VERIS-TANC-APF-MAT-VESP'!$A$1))+1,255)</f>
        <v>180 SUL-VERIS-TANC-APF-MAT-VESP</v>
      </c>
      <c r="B21" s="133"/>
      <c r="C21" s="134">
        <f t="shared" ca="1" si="0"/>
        <v>1129.8</v>
      </c>
      <c r="D21" s="134">
        <f t="shared" ca="1" si="1"/>
        <v>1260</v>
      </c>
      <c r="E21" s="134">
        <f t="shared" ca="1" si="2"/>
        <v>15.057862371676235</v>
      </c>
      <c r="F21" s="134">
        <f t="shared" ca="1" si="3"/>
        <v>15.787653076026084</v>
      </c>
      <c r="G21" s="134">
        <f t="shared" ca="1" si="4"/>
        <v>17012.37290751981</v>
      </c>
      <c r="H21" s="134">
        <f t="shared" ca="1" si="5"/>
        <v>19892.442875792865</v>
      </c>
      <c r="I21" s="134">
        <f t="shared" ca="1" si="6"/>
        <v>36904.815783312675</v>
      </c>
      <c r="M21" s="93"/>
    </row>
    <row r="22" spans="1:14" x14ac:dyDescent="0.25">
      <c r="A22" s="133" t="str">
        <f ca="1">MID(CELL("nome.arquivo",'180 SUL-VERIS-MAT'!$A$1),SEARCH("]",CELL("nome.arquivo",'180 SUL-VERIS-MAT'!$A$1))+1,255)</f>
        <v>180 SUL-VERIS-MAT</v>
      </c>
      <c r="B22" s="133"/>
      <c r="C22" s="134">
        <f t="shared" ca="1" si="0"/>
        <v>365.4</v>
      </c>
      <c r="D22" s="134">
        <f t="shared" ca="1" si="1"/>
        <v>840</v>
      </c>
      <c r="E22" s="134">
        <f t="shared" ca="1" si="2"/>
        <v>24.274866570416567</v>
      </c>
      <c r="F22" s="134">
        <f t="shared" ca="1" si="3"/>
        <v>25.004657274766412</v>
      </c>
      <c r="G22" s="134">
        <f t="shared" ref="G22" ca="1" si="13">C22*E22</f>
        <v>8870.036244830213</v>
      </c>
      <c r="H22" s="134">
        <f t="shared" ref="H22" ca="1" si="14">D22*F22</f>
        <v>21003.912110803787</v>
      </c>
      <c r="I22" s="134">
        <f t="shared" ref="I22" ca="1" si="15">H22+G22</f>
        <v>29873.948355633998</v>
      </c>
    </row>
    <row r="23" spans="1:14" x14ac:dyDescent="0.25">
      <c r="A23" s="133" t="str">
        <f ca="1">MID(CELL("nome.arquivo",'188 NORTE DURAN- ALUISIO- MATU'!$A$1),SEARCH("]",CELL("nome.arquivo",'188 NORTE DURAN- ALUISIO- MATU'!$A$1))+1,255)</f>
        <v>188 NORTE DURAN- ALUISIO- MATU</v>
      </c>
      <c r="B23" s="133"/>
      <c r="C23" s="134">
        <f t="shared" ca="1" si="0"/>
        <v>945.42000000000007</v>
      </c>
      <c r="D23" s="134">
        <f t="shared" ca="1" si="1"/>
        <v>672</v>
      </c>
      <c r="E23" s="134">
        <f t="shared" ca="1" si="2"/>
        <v>19.513457095825611</v>
      </c>
      <c r="F23" s="134">
        <f t="shared" ca="1" si="3"/>
        <v>20.243247800175457</v>
      </c>
      <c r="G23" s="134">
        <f t="shared" ref="G23:G35" ca="1" si="16">C23*E23</f>
        <v>18448.412607535451</v>
      </c>
      <c r="H23" s="134">
        <f t="shared" ref="H23:H35" ca="1" si="17">D23*F23</f>
        <v>13603.462521717907</v>
      </c>
      <c r="I23" s="134">
        <f t="shared" ref="I23:I35" ca="1" si="18">H23+G23</f>
        <v>32051.875129253356</v>
      </c>
    </row>
    <row r="24" spans="1:14" x14ac:dyDescent="0.25">
      <c r="A24" s="133" t="str">
        <f ca="1">MID(CELL("nome.arquivo",'192 NORTE - DURAN-ROSALES-MATUT'!$A$1),SEARCH("]",CELL("nome.arquivo",'192 NORTE - DURAN-ROSALES-MATUT'!$A$1))+1,255)</f>
        <v>192 NORTE - DURAN-ROSALES-MATUT</v>
      </c>
      <c r="B24" s="133"/>
      <c r="C24" s="134">
        <f t="shared" ref="C24:C37" ca="1" si="19">INDIRECT("'"&amp;$A24&amp;"'!$O$14")</f>
        <v>695.94</v>
      </c>
      <c r="D24" s="134">
        <f t="shared" ref="D24:D37" ca="1" si="20">INDIRECT("'"&amp;$A24&amp;"'!$O$16")</f>
        <v>651</v>
      </c>
      <c r="E24" s="134">
        <f t="shared" ref="E24:E37" ca="1" si="21">INDIRECT("'"&amp;$A24&amp;"'!$R$15")</f>
        <v>22.298728554797322</v>
      </c>
      <c r="F24" s="134">
        <f t="shared" ref="F24:F37" ca="1" si="22">INDIRECT("'"&amp;$A24&amp;"'!$S$15")</f>
        <v>23.028519259147163</v>
      </c>
      <c r="G24" s="134">
        <f t="shared" ca="1" si="16"/>
        <v>15518.57715042565</v>
      </c>
      <c r="H24" s="134">
        <f t="shared" ca="1" si="17"/>
        <v>14991.566037704803</v>
      </c>
      <c r="I24" s="134">
        <f t="shared" ca="1" si="18"/>
        <v>30510.143188130452</v>
      </c>
    </row>
    <row r="25" spans="1:14" x14ac:dyDescent="0.25">
      <c r="A25" s="133" t="str">
        <f ca="1">MID(CELL("nome.arquivo",'192 SUL - DURAN -MATU'!$A$1),SEARCH("]",CELL("nome.arquivo",'192 SUL - DURAN -MATU'!$A$1))+1,255)</f>
        <v>192 SUL - DURAN -MATU</v>
      </c>
      <c r="B25" s="133"/>
      <c r="C25" s="134">
        <f t="shared" ca="1" si="19"/>
        <v>212.94</v>
      </c>
      <c r="D25" s="134">
        <f t="shared" ca="1" si="20"/>
        <v>630</v>
      </c>
      <c r="E25" s="134">
        <f t="shared" ca="1" si="21"/>
        <v>32.259765808236239</v>
      </c>
      <c r="F25" s="134">
        <f t="shared" ca="1" si="22"/>
        <v>32.989556512586084</v>
      </c>
      <c r="G25" s="134">
        <f t="shared" ca="1" si="16"/>
        <v>6869.3945312058249</v>
      </c>
      <c r="H25" s="134">
        <f t="shared" ca="1" si="17"/>
        <v>20783.420602929233</v>
      </c>
      <c r="I25" s="134">
        <f t="shared" ca="1" si="18"/>
        <v>27652.815134135057</v>
      </c>
    </row>
    <row r="26" spans="1:14" x14ac:dyDescent="0.25">
      <c r="A26" s="133" t="str">
        <f ca="1">MID(CELL("nome.arquivo",'196 SUL - DURAN - MATUTINO'!$A$1),SEARCH("]",CELL("nome.arquivo",'196 SUL - DURAN - MATUTINO'!$A$1))+1,255)</f>
        <v>196 SUL - DURAN - MATUTINO</v>
      </c>
      <c r="B26" s="133"/>
      <c r="C26" s="134">
        <f t="shared" ca="1" si="19"/>
        <v>44.1</v>
      </c>
      <c r="D26" s="134">
        <f t="shared" ca="1" si="20"/>
        <v>999.6</v>
      </c>
      <c r="E26" s="134">
        <f t="shared" ca="1" si="21"/>
        <v>27.181758470791351</v>
      </c>
      <c r="F26" s="134">
        <f t="shared" ca="1" si="22"/>
        <v>27.9115491751412</v>
      </c>
      <c r="G26" s="134">
        <f t="shared" ca="1" si="16"/>
        <v>1198.7155485618987</v>
      </c>
      <c r="H26" s="134">
        <f t="shared" ca="1" si="17"/>
        <v>27900.384555471144</v>
      </c>
      <c r="I26" s="134">
        <f t="shared" ca="1" si="18"/>
        <v>29099.100104033045</v>
      </c>
    </row>
    <row r="27" spans="1:14" x14ac:dyDescent="0.25">
      <c r="A27" s="133" t="str">
        <f ca="1">MID(CELL("nome.arquivo",'200 NORTE - DURAN - MATUTINO'!$A$1),SEARCH("]",CELL("nome.arquivo",'200 NORTE - DURAN - MATUTINO'!$A$1))+1,255)</f>
        <v>200 NORTE - DURAN - MATUTINO</v>
      </c>
      <c r="B27" s="133"/>
      <c r="C27" s="134">
        <f t="shared" ca="1" si="19"/>
        <v>140.70000000000002</v>
      </c>
      <c r="D27" s="134">
        <f t="shared" ca="1" si="20"/>
        <v>1079.3999999999999</v>
      </c>
      <c r="E27" s="134">
        <f t="shared" ca="1" si="21"/>
        <v>24.074440765650603</v>
      </c>
      <c r="F27" s="134">
        <f t="shared" ca="1" si="22"/>
        <v>24.804231470000452</v>
      </c>
      <c r="G27" s="134">
        <f t="shared" ca="1" si="16"/>
        <v>3387.2738157270405</v>
      </c>
      <c r="H27" s="134">
        <f t="shared" ca="1" si="17"/>
        <v>26773.687448718483</v>
      </c>
      <c r="I27" s="134">
        <f t="shared" ca="1" si="18"/>
        <v>30160.961264445523</v>
      </c>
    </row>
    <row r="28" spans="1:14" x14ac:dyDescent="0.25">
      <c r="A28" s="133" t="str">
        <f ca="1">MID(CELL("nome.arquivo",'200 SUL - DURAN - MATUTINO'!$A$1),SEARCH("]",CELL("nome.arquivo",'200 SUL - DURAN - MATUTINO'!$A$1))+1,255)</f>
        <v>200 SUL - DURAN - MATUTINO</v>
      </c>
      <c r="B28" s="133"/>
      <c r="C28" s="134">
        <f t="shared" ca="1" si="19"/>
        <v>140.70000000000002</v>
      </c>
      <c r="D28" s="134">
        <f t="shared" ca="1" si="20"/>
        <v>630</v>
      </c>
      <c r="E28" s="134">
        <f t="shared" ca="1" si="21"/>
        <v>34.755500220871241</v>
      </c>
      <c r="F28" s="134">
        <f t="shared" ca="1" si="22"/>
        <v>35.485290925221079</v>
      </c>
      <c r="G28" s="134">
        <f t="shared" ca="1" si="16"/>
        <v>4890.0988810765839</v>
      </c>
      <c r="H28" s="134">
        <f t="shared" ca="1" si="17"/>
        <v>22355.73328288928</v>
      </c>
      <c r="I28" s="134">
        <f t="shared" ca="1" si="18"/>
        <v>27245.832163965864</v>
      </c>
    </row>
    <row r="29" spans="1:14" x14ac:dyDescent="0.25">
      <c r="A29" s="133" t="str">
        <f ca="1">MID(CELL("nome.arquivo",'204 NORTE - DURAN'!$A$1),SEARCH("]",CELL("nome.arquivo",'204 NORTE - DURAN'!$A$1))+1,255)</f>
        <v>204 NORTE - DURAN</v>
      </c>
      <c r="B29" s="133"/>
      <c r="C29" s="134">
        <f t="shared" ca="1" si="19"/>
        <v>296.94</v>
      </c>
      <c r="D29" s="134">
        <f t="shared" ca="1" si="20"/>
        <v>630</v>
      </c>
      <c r="E29" s="134">
        <f t="shared" ca="1" si="21"/>
        <v>29.846897320451472</v>
      </c>
      <c r="F29" s="134">
        <f t="shared" ca="1" si="22"/>
        <v>30.576688024801317</v>
      </c>
      <c r="G29" s="134">
        <f t="shared" ca="1" si="16"/>
        <v>8862.7376903348595</v>
      </c>
      <c r="H29" s="134">
        <f t="shared" ca="1" si="17"/>
        <v>19263.31345562483</v>
      </c>
      <c r="I29" s="134">
        <f t="shared" ca="1" si="18"/>
        <v>28126.051145959689</v>
      </c>
    </row>
    <row r="30" spans="1:14" x14ac:dyDescent="0.25">
      <c r="A30" s="133" t="str">
        <f ca="1">MID(CELL("nome.arquivo",'204 SUL - DURAN - MAT'!$A$1),SEARCH("]",CELL("nome.arquivo",'204 SUL - DURAN - MAT'!$A$1))+1,255)</f>
        <v>204 SUL - DURAN - MAT</v>
      </c>
      <c r="B30" s="133"/>
      <c r="C30" s="134">
        <f t="shared" ca="1" si="19"/>
        <v>593.88</v>
      </c>
      <c r="D30" s="134">
        <f t="shared" ca="1" si="20"/>
        <v>1008</v>
      </c>
      <c r="E30" s="134">
        <f t="shared" ca="1" si="21"/>
        <v>19.673938850502008</v>
      </c>
      <c r="F30" s="134">
        <f t="shared" ca="1" si="22"/>
        <v>20.403729554851854</v>
      </c>
      <c r="G30" s="134">
        <f t="shared" ca="1" si="16"/>
        <v>11683.958804536132</v>
      </c>
      <c r="H30" s="134">
        <f t="shared" ca="1" si="17"/>
        <v>20566.959391290668</v>
      </c>
      <c r="I30" s="134">
        <f t="shared" ca="1" si="18"/>
        <v>32250.918195826802</v>
      </c>
    </row>
    <row r="31" spans="1:14" x14ac:dyDescent="0.25">
      <c r="A31" s="133" t="str">
        <f ca="1">MID(CELL("nome.arquivo",'204 SUL - DURAN -ROSALES- MAT'!$A$1),SEARCH("]",CELL("nome.arquivo",'204 SUL - DURAN -ROSALES- MAT'!$A$1))+1,255)</f>
        <v>204 SUL - DURAN -ROSALES- MAT</v>
      </c>
      <c r="B31" s="133"/>
      <c r="C31" s="134">
        <f t="shared" ca="1" si="19"/>
        <v>779.94</v>
      </c>
      <c r="D31" s="134">
        <f t="shared" ca="1" si="20"/>
        <v>735</v>
      </c>
      <c r="E31" s="134">
        <f t="shared" ca="1" si="21"/>
        <v>20.457488069674607</v>
      </c>
      <c r="F31" s="134">
        <f t="shared" ca="1" si="22"/>
        <v>21.187278774024453</v>
      </c>
      <c r="G31" s="134">
        <f t="shared" ref="G31" ca="1" si="23">C31*E31</f>
        <v>15955.613245062013</v>
      </c>
      <c r="H31" s="134">
        <f t="shared" ref="H31" ca="1" si="24">D31*F31</f>
        <v>15572.649898907972</v>
      </c>
      <c r="I31" s="134">
        <f t="shared" ref="I31" ca="1" si="25">H31+G31</f>
        <v>31528.263143969984</v>
      </c>
    </row>
    <row r="32" spans="1:14" x14ac:dyDescent="0.25">
      <c r="A32" s="133" t="str">
        <f ca="1">MID(CELL("nome.arquivo",'208 NORTE - ROSALES -MAT-VESP'!$A$1),SEARCH("]",CELL("nome.arquivo",'208 NORTE - ROSALES -MAT-VESP'!$A$1))+1,255)</f>
        <v>208 NORTE - ROSALES -MAT-VESP</v>
      </c>
      <c r="B32" s="133"/>
      <c r="C32" s="134">
        <f t="shared" ca="1" si="19"/>
        <v>2020.2</v>
      </c>
      <c r="D32" s="134">
        <f t="shared" ca="1" si="20"/>
        <v>201.6</v>
      </c>
      <c r="E32" s="134">
        <f t="shared" ca="1" si="21"/>
        <v>15.711789543644482</v>
      </c>
      <c r="F32" s="134">
        <f t="shared" ca="1" si="22"/>
        <v>16.441580247994327</v>
      </c>
      <c r="G32" s="134">
        <f t="shared" ca="1" si="16"/>
        <v>31740.957236070582</v>
      </c>
      <c r="H32" s="134">
        <f t="shared" ca="1" si="17"/>
        <v>3314.6225779956562</v>
      </c>
      <c r="I32" s="134">
        <f t="shared" ca="1" si="18"/>
        <v>35055.579814066237</v>
      </c>
    </row>
    <row r="33" spans="1:9" x14ac:dyDescent="0.25">
      <c r="A33" s="133" t="str">
        <f ca="1">MID(CELL("nome.arquivo",'208 SUL - ROSALES - MAT-VESP'!$A$1),SEARCH("]",CELL("nome.arquivo",'208 SUL - ROSALES - MAT-VESP'!$A$1))+1,255)</f>
        <v>208 SUL - ROSALES - MAT-VESP</v>
      </c>
      <c r="B33" s="133"/>
      <c r="C33" s="134">
        <f t="shared" ca="1" si="19"/>
        <v>71.399999999999991</v>
      </c>
      <c r="D33" s="134">
        <f t="shared" ca="1" si="20"/>
        <v>1092</v>
      </c>
      <c r="E33" s="134">
        <f t="shared" ca="1" si="21"/>
        <v>24.974508077309952</v>
      </c>
      <c r="F33" s="134">
        <f t="shared" ca="1" si="22"/>
        <v>25.704298781659801</v>
      </c>
      <c r="G33" s="134">
        <f t="shared" ca="1" si="16"/>
        <v>1783.1798767199305</v>
      </c>
      <c r="H33" s="134">
        <f t="shared" ca="1" si="17"/>
        <v>28069.094269572503</v>
      </c>
      <c r="I33" s="134">
        <f t="shared" ca="1" si="18"/>
        <v>29852.274146292431</v>
      </c>
    </row>
    <row r="34" spans="1:9" x14ac:dyDescent="0.25">
      <c r="A34" s="133" t="str">
        <f ca="1">MID(CELL("nome.arquivo",'TRAV DO CAFÉ-VERIS-CAND MAT-VES'!$A$1),SEARCH("]",CELL("nome.arquivo",'TRAV DO CAFÉ-VERIS-CAND MAT-VES'!$A$1))+1,255)</f>
        <v>TRAV DO CAFÉ-VERIS-CAND MAT-VES</v>
      </c>
      <c r="B34" s="133"/>
      <c r="C34" s="134">
        <f t="shared" ca="1" si="19"/>
        <v>1050</v>
      </c>
      <c r="D34" s="134">
        <f t="shared" ca="1" si="20"/>
        <v>390.6</v>
      </c>
      <c r="E34" s="134">
        <f t="shared" ca="1" si="21"/>
        <v>21.19300048757886</v>
      </c>
      <c r="F34" s="134">
        <f t="shared" ca="1" si="22"/>
        <v>21.922791191928702</v>
      </c>
      <c r="G34" s="134">
        <f t="shared" ca="1" si="16"/>
        <v>22252.650511957803</v>
      </c>
      <c r="H34" s="134">
        <f t="shared" ca="1" si="17"/>
        <v>8563.0422395673522</v>
      </c>
      <c r="I34" s="134">
        <f t="shared" ca="1" si="18"/>
        <v>30815.692751525155</v>
      </c>
    </row>
    <row r="35" spans="1:9" x14ac:dyDescent="0.25">
      <c r="A35" s="133" t="str">
        <f ca="1">MID(CELL("nome.arquivo",'TRAV DO PEIXE-VERÍSSIMO - VESP'!$A$1),SEARCH("]",CELL("nome.arquivo",'TRAV DO PEIXE-VERÍSSIMO - VESP'!$A$1))+1,255)</f>
        <v>TRAV DO PEIXE-VERÍSSIMO - VESP</v>
      </c>
      <c r="B35" s="133"/>
      <c r="C35" s="134">
        <f t="shared" ca="1" si="19"/>
        <v>252</v>
      </c>
      <c r="D35" s="134">
        <f t="shared" ca="1" si="20"/>
        <v>210</v>
      </c>
      <c r="E35" s="134">
        <f t="shared" ca="1" si="21"/>
        <v>54.102151756808638</v>
      </c>
      <c r="F35" s="134">
        <f t="shared" ca="1" si="22"/>
        <v>54.831942461158491</v>
      </c>
      <c r="G35" s="134">
        <f t="shared" ca="1" si="16"/>
        <v>13633.742242715776</v>
      </c>
      <c r="H35" s="134">
        <f t="shared" ca="1" si="17"/>
        <v>11514.707916843283</v>
      </c>
      <c r="I35" s="134">
        <f t="shared" ca="1" si="18"/>
        <v>25148.450159559059</v>
      </c>
    </row>
    <row r="36" spans="1:9" x14ac:dyDescent="0.25">
      <c r="A36" s="133" t="str">
        <f ca="1">MID(CELL("nome.arquivo",'196 NORTE DURAN - MATUTINO'!$A$1),SEARCH("]",CELL("nome.arquivo",'196 NORTE DURAN - MATUTINO'!$A$1))+1,255)</f>
        <v>196 NORTE DURAN - MATUTINO</v>
      </c>
      <c r="B36" s="133"/>
      <c r="C36" s="134">
        <f t="shared" ca="1" si="19"/>
        <v>44.1</v>
      </c>
      <c r="D36" s="134">
        <f t="shared" ca="1" si="20"/>
        <v>772.8</v>
      </c>
      <c r="E36" s="134">
        <f t="shared" ca="1" si="21"/>
        <v>33.130041864207719</v>
      </c>
      <c r="F36" s="134">
        <f t="shared" ca="1" si="22"/>
        <v>33.859832568557557</v>
      </c>
      <c r="G36" s="134">
        <f t="shared" ref="G36" ca="1" si="26">C36*E36</f>
        <v>1461.0348462115605</v>
      </c>
      <c r="H36" s="134">
        <f t="shared" ref="H36" ca="1" si="27">D36*F36</f>
        <v>26166.878608981278</v>
      </c>
      <c r="I36" s="134">
        <f t="shared" ref="I36" ca="1" si="28">H36+G36</f>
        <v>27627.91345519284</v>
      </c>
    </row>
    <row r="37" spans="1:9" x14ac:dyDescent="0.25">
      <c r="A37" s="133" t="str">
        <f ca="1">MID(CELL("nome.arquivo",'VERI 176 S RO 010  180-164 MAT'!$A$1),SEARCH("]",CELL("nome.arquivo",'VERI 176 S RO 010  180-164 MAT'!$A$1))+1,255)</f>
        <v>VERI 176 S RO 010  180-164 MAT</v>
      </c>
      <c r="B37" s="133"/>
      <c r="C37" s="134">
        <f t="shared" ca="1" si="19"/>
        <v>630</v>
      </c>
      <c r="D37" s="134">
        <f t="shared" ca="1" si="20"/>
        <v>714</v>
      </c>
      <c r="E37" s="134">
        <f t="shared" ca="1" si="21"/>
        <v>22.340956334786824</v>
      </c>
      <c r="F37" s="134">
        <f t="shared" ca="1" si="22"/>
        <v>23.070747039136666</v>
      </c>
      <c r="G37" s="134">
        <f t="shared" ref="G37" ca="1" si="29">C37*E37</f>
        <v>14074.802490915699</v>
      </c>
      <c r="H37" s="134">
        <f t="shared" ref="H37" ca="1" si="30">D37*F37</f>
        <v>16472.513385943581</v>
      </c>
      <c r="I37" s="134">
        <f t="shared" ref="I37" ca="1" si="31">H37+G37</f>
        <v>30547.31587685928</v>
      </c>
    </row>
    <row r="38" spans="1:9" x14ac:dyDescent="0.25">
      <c r="C38" s="131">
        <f ca="1">SUM(C9:C37)</f>
        <v>16750.020000000004</v>
      </c>
      <c r="D38" s="131">
        <f ca="1">SUM(D9:D37)</f>
        <v>26598.599999999995</v>
      </c>
      <c r="E38" s="9"/>
      <c r="F38" s="9"/>
      <c r="G38" s="131">
        <f ca="1">SUM(G9:G37)</f>
        <v>326364.12146582454</v>
      </c>
      <c r="H38" s="131">
        <f ca="1">SUM(H9:H37)</f>
        <v>589168.44200177223</v>
      </c>
      <c r="I38" s="131">
        <f ca="1">SUM(I9:I37)</f>
        <v>915532.56346759689</v>
      </c>
    </row>
    <row r="40" spans="1:9" ht="45" x14ac:dyDescent="0.25">
      <c r="G40" s="159" t="s">
        <v>356</v>
      </c>
      <c r="H40" s="159" t="s">
        <v>357</v>
      </c>
      <c r="I40" s="159" t="s">
        <v>358</v>
      </c>
    </row>
    <row r="41" spans="1:9" x14ac:dyDescent="0.25">
      <c r="D41" s="93"/>
      <c r="G41" s="160">
        <f ca="1">G38/C38</f>
        <v>19.484401897181286</v>
      </c>
      <c r="H41" s="160">
        <f ca="1">H38/D38</f>
        <v>22.150355357115501</v>
      </c>
      <c r="I41" s="178">
        <f ca="1">I38/(C38+D38)</f>
        <v>21.120223976394104</v>
      </c>
    </row>
  </sheetData>
  <mergeCells count="5">
    <mergeCell ref="A6:I6"/>
    <mergeCell ref="A4:I4"/>
    <mergeCell ref="A2:I2"/>
    <mergeCell ref="A1:I1"/>
    <mergeCell ref="G7:H7"/>
  </mergeCells>
  <pageMargins left="0.31496062992125984" right="0.31496062992125984" top="0.78740157480314965" bottom="0.78740157480314965" header="0.31496062992125984" footer="0.31496062992125984"/>
  <pageSetup paperSize="9" scale="97" fitToHeight="0" orientation="landscape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">
    <tabColor rgb="FF00B0F0"/>
  </sheetPr>
  <dimension ref="A2:V160"/>
  <sheetViews>
    <sheetView tabSelected="1" view="pageBreakPreview" topLeftCell="A57" zoomScale="85" zoomScaleNormal="100" zoomScaleSheetLayoutView="85" workbookViewId="0">
      <selection activeCell="A57" sqref="A57"/>
    </sheetView>
  </sheetViews>
  <sheetFormatPr defaultColWidth="8.85546875" defaultRowHeight="15" x14ac:dyDescent="0.25"/>
  <cols>
    <col min="1" max="1" width="9" customWidth="1"/>
    <col min="2" max="2" width="14.140625" customWidth="1"/>
    <col min="3" max="3" width="15.28515625" customWidth="1"/>
    <col min="5" max="5" width="12.42578125" customWidth="1"/>
    <col min="6" max="6" width="13.5703125" customWidth="1"/>
    <col min="7" max="7" width="12.140625" customWidth="1"/>
    <col min="9" max="9" width="10.7109375" customWidth="1"/>
    <col min="10" max="10" width="12.140625" bestFit="1" customWidth="1"/>
    <col min="11" max="11" width="16.42578125" bestFit="1" customWidth="1"/>
    <col min="12" max="12" width="14.42578125" customWidth="1"/>
    <col min="14" max="14" width="6.42578125" customWidth="1"/>
    <col min="15" max="15" width="9" customWidth="1"/>
    <col min="16" max="16" width="10.42578125" customWidth="1"/>
    <col min="17" max="17" width="15.140625" customWidth="1"/>
    <col min="18" max="18" width="14.7109375" bestFit="1" customWidth="1"/>
    <col min="19" max="19" width="19.42578125" bestFit="1" customWidth="1"/>
  </cols>
  <sheetData>
    <row r="2" spans="1:19" x14ac:dyDescent="0.25">
      <c r="C2" s="239" t="s">
        <v>151</v>
      </c>
      <c r="D2" s="240"/>
      <c r="E2" s="240"/>
      <c r="F2" s="240"/>
    </row>
    <row r="3" spans="1:19" x14ac:dyDescent="0.25">
      <c r="C3" s="240"/>
      <c r="D3" s="240"/>
      <c r="E3" s="240"/>
      <c r="F3" s="240"/>
      <c r="H3" s="241" t="s">
        <v>64</v>
      </c>
      <c r="I3" s="239"/>
      <c r="J3" s="239"/>
      <c r="K3" s="239"/>
      <c r="L3" s="239"/>
      <c r="M3" s="239"/>
      <c r="N3" s="239"/>
      <c r="O3" s="239"/>
      <c r="P3" s="239"/>
    </row>
    <row r="4" spans="1:19" x14ac:dyDescent="0.25">
      <c r="C4" s="240"/>
      <c r="D4" s="240"/>
      <c r="E4" s="240"/>
      <c r="F4" s="240"/>
      <c r="H4" s="239"/>
      <c r="I4" s="239"/>
      <c r="J4" s="239"/>
      <c r="K4" s="239"/>
      <c r="L4" s="239"/>
      <c r="M4" s="239"/>
      <c r="N4" s="239"/>
      <c r="O4" s="239"/>
      <c r="P4" s="239"/>
    </row>
    <row r="5" spans="1:19" x14ac:dyDescent="0.25">
      <c r="C5" s="240"/>
      <c r="D5" s="240"/>
      <c r="E5" s="240"/>
      <c r="F5" s="240"/>
      <c r="H5" s="239"/>
      <c r="I5" s="239"/>
      <c r="J5" s="239"/>
      <c r="K5" s="239"/>
      <c r="L5" s="239"/>
      <c r="M5" s="239"/>
      <c r="N5" s="239"/>
      <c r="O5" s="239"/>
      <c r="P5" s="239"/>
    </row>
    <row r="6" spans="1:19" x14ac:dyDescent="0.25">
      <c r="C6" s="240"/>
      <c r="D6" s="240"/>
      <c r="E6" s="240"/>
      <c r="F6" s="240"/>
    </row>
    <row r="7" spans="1:19" ht="21" x14ac:dyDescent="0.35">
      <c r="E7" s="18" t="s">
        <v>80</v>
      </c>
      <c r="F7" s="235" t="s">
        <v>65</v>
      </c>
      <c r="G7" s="235"/>
      <c r="H7" s="235"/>
      <c r="K7" s="242" t="s">
        <v>286</v>
      </c>
      <c r="L7" s="243"/>
      <c r="M7" s="243"/>
      <c r="N7" s="243"/>
    </row>
    <row r="8" spans="1:19" ht="15.75" x14ac:dyDescent="0.25">
      <c r="B8" s="194"/>
      <c r="C8" s="194"/>
      <c r="D8" s="8"/>
      <c r="E8" s="8"/>
      <c r="F8" s="8"/>
      <c r="J8" s="9"/>
    </row>
    <row r="9" spans="1:19" ht="21" x14ac:dyDescent="0.35">
      <c r="A9" s="235" t="s">
        <v>352</v>
      </c>
      <c r="B9" s="235"/>
      <c r="C9" s="235"/>
      <c r="D9" s="235"/>
      <c r="E9" s="235"/>
      <c r="F9" s="235"/>
      <c r="I9" s="244" t="s">
        <v>157</v>
      </c>
      <c r="J9" s="244"/>
      <c r="K9" s="244"/>
      <c r="L9" s="244"/>
      <c r="M9" s="244"/>
      <c r="N9" s="244"/>
      <c r="O9" s="244"/>
      <c r="P9" s="244"/>
      <c r="R9" s="9" t="s">
        <v>155</v>
      </c>
      <c r="S9" s="9" t="s">
        <v>156</v>
      </c>
    </row>
    <row r="10" spans="1:19" x14ac:dyDescent="0.25">
      <c r="R10" s="2">
        <f>K43</f>
        <v>4619.9511405354451</v>
      </c>
      <c r="S10" s="43">
        <f>K45</f>
        <v>3496.5458434788638</v>
      </c>
    </row>
    <row r="11" spans="1:19" ht="17.25" x14ac:dyDescent="0.3">
      <c r="A11" s="236" t="s">
        <v>150</v>
      </c>
      <c r="B11" s="237"/>
      <c r="C11" s="237"/>
      <c r="D11" s="237"/>
      <c r="E11" s="237"/>
      <c r="F11" s="238"/>
      <c r="G11" s="40" t="s">
        <v>0</v>
      </c>
      <c r="K11" s="206" t="s">
        <v>15</v>
      </c>
      <c r="L11" s="206"/>
      <c r="M11" s="206"/>
      <c r="N11" s="206"/>
      <c r="O11" s="161">
        <f>O12+O13</f>
        <v>75.64</v>
      </c>
      <c r="P11" s="47" t="s">
        <v>14</v>
      </c>
      <c r="R11" s="130">
        <f>K65/O18*O14</f>
        <v>11546.935071459144</v>
      </c>
      <c r="S11" s="130">
        <f>K65/O18*O16</f>
        <v>7590.0099067435203</v>
      </c>
    </row>
    <row r="12" spans="1:19" ht="15.75" x14ac:dyDescent="0.25">
      <c r="A12" s="214" t="s">
        <v>107</v>
      </c>
      <c r="B12" s="215"/>
      <c r="C12" s="215"/>
      <c r="D12" s="48"/>
      <c r="E12" s="218">
        <f>Insumos!$B$4</f>
        <v>531068.38</v>
      </c>
      <c r="F12" s="218"/>
      <c r="G12" s="1"/>
      <c r="K12" s="206" t="s">
        <v>136</v>
      </c>
      <c r="L12" s="206"/>
      <c r="M12" s="206"/>
      <c r="N12" s="206"/>
      <c r="O12" s="150">
        <v>45.64</v>
      </c>
      <c r="P12" s="47" t="s">
        <v>14</v>
      </c>
      <c r="R12" s="2">
        <f>K72/O18*O14</f>
        <v>1112.6873291373793</v>
      </c>
      <c r="S12" s="2">
        <f>K72/O18*O16</f>
        <v>731.38956779407044</v>
      </c>
    </row>
    <row r="13" spans="1:19" ht="15.75" x14ac:dyDescent="0.25">
      <c r="A13" s="214" t="s">
        <v>285</v>
      </c>
      <c r="B13" s="215"/>
      <c r="C13" s="215"/>
      <c r="D13" s="216"/>
      <c r="E13" s="198">
        <f>'DEPRECIAÇÃO LINEAR'!D15</f>
        <v>10</v>
      </c>
      <c r="F13" s="198"/>
      <c r="K13" s="206" t="s">
        <v>137</v>
      </c>
      <c r="L13" s="206"/>
      <c r="M13" s="206"/>
      <c r="N13" s="206"/>
      <c r="O13" s="150">
        <v>30</v>
      </c>
      <c r="P13" s="47" t="s">
        <v>14</v>
      </c>
      <c r="R13" s="2">
        <f>K79/O18*O14</f>
        <v>1662.4845949235771</v>
      </c>
      <c r="S13" s="2">
        <f>K79/O18*O16</f>
        <v>1092.7812850067332</v>
      </c>
    </row>
    <row r="14" spans="1:19" ht="15" customHeight="1" x14ac:dyDescent="0.25">
      <c r="A14" s="214" t="s">
        <v>23</v>
      </c>
      <c r="B14" s="215"/>
      <c r="C14" s="215"/>
      <c r="D14" s="216"/>
      <c r="E14" s="219">
        <v>2026</v>
      </c>
      <c r="F14" s="220"/>
      <c r="K14" s="223" t="s">
        <v>138</v>
      </c>
      <c r="L14" s="223"/>
      <c r="M14" s="223"/>
      <c r="N14" s="223"/>
      <c r="O14" s="232">
        <f>O12*21</f>
        <v>958.44</v>
      </c>
      <c r="P14" s="234" t="s">
        <v>14</v>
      </c>
      <c r="R14" s="2">
        <f>SUM(R10:R13)</f>
        <v>18942.058136055544</v>
      </c>
      <c r="S14" s="2">
        <f>SUM(S10:S13)</f>
        <v>12910.726603023188</v>
      </c>
    </row>
    <row r="15" spans="1:19" ht="15.75" customHeight="1" x14ac:dyDescent="0.25">
      <c r="A15" s="49" t="s">
        <v>79</v>
      </c>
      <c r="B15" s="48"/>
      <c r="C15" s="48"/>
      <c r="D15" s="48"/>
      <c r="E15" s="198">
        <v>0</v>
      </c>
      <c r="F15" s="198"/>
      <c r="G15" s="41" t="s">
        <v>128</v>
      </c>
      <c r="I15" s="28"/>
      <c r="J15" s="28"/>
      <c r="K15" s="223"/>
      <c r="L15" s="223"/>
      <c r="M15" s="223"/>
      <c r="N15" s="223"/>
      <c r="O15" s="233"/>
      <c r="P15" s="234"/>
      <c r="R15" s="31">
        <f>IFERROR(R14/O14,0)</f>
        <v>19.76342612584569</v>
      </c>
      <c r="S15" s="31">
        <f>IFERROR(S14/O16,0)</f>
        <v>20.493216830195536</v>
      </c>
    </row>
    <row r="16" spans="1:19" ht="15" customHeight="1" x14ac:dyDescent="0.25">
      <c r="A16" s="214" t="s">
        <v>84</v>
      </c>
      <c r="B16" s="215"/>
      <c r="C16" s="215"/>
      <c r="D16" s="215"/>
      <c r="E16" s="198" t="str">
        <f>IF($F$7=$D$95,F104,IF($F$7=$D$107,F116,IF($F$7=$N$95,Q104,IF($F$7=$O$107,P116,""))))</f>
        <v>ATÉ 59 ALUNOS</v>
      </c>
      <c r="F16" s="198"/>
      <c r="I16" s="28"/>
      <c r="J16" s="28"/>
      <c r="K16" s="223" t="s">
        <v>139</v>
      </c>
      <c r="L16" s="223"/>
      <c r="M16" s="223"/>
      <c r="N16" s="223"/>
      <c r="O16" s="232">
        <f>O13*21</f>
        <v>630</v>
      </c>
      <c r="P16" s="234" t="s">
        <v>14</v>
      </c>
    </row>
    <row r="17" spans="1:22" ht="15" customHeight="1" x14ac:dyDescent="0.35">
      <c r="I17" s="28"/>
      <c r="J17" s="28"/>
      <c r="K17" s="223"/>
      <c r="L17" s="223"/>
      <c r="M17" s="223"/>
      <c r="N17" s="223"/>
      <c r="O17" s="233"/>
      <c r="P17" s="234"/>
      <c r="R17" s="2">
        <f>R14+S14</f>
        <v>31852.784739078732</v>
      </c>
      <c r="T17" s="235"/>
      <c r="U17" s="235"/>
      <c r="V17" s="235"/>
    </row>
    <row r="18" spans="1:22" ht="15" customHeight="1" x14ac:dyDescent="0.25">
      <c r="I18" s="28"/>
      <c r="J18" s="28"/>
      <c r="K18" s="223" t="s">
        <v>140</v>
      </c>
      <c r="L18" s="223"/>
      <c r="M18" s="223"/>
      <c r="N18" s="223"/>
      <c r="O18" s="46">
        <f>O16+O14</f>
        <v>1588.44</v>
      </c>
      <c r="P18" s="47" t="s">
        <v>14</v>
      </c>
      <c r="R18" s="2">
        <f>R17/O18</f>
        <v>20.052872465487354</v>
      </c>
    </row>
    <row r="19" spans="1:22" ht="15.75" customHeight="1" x14ac:dyDescent="0.3">
      <c r="A19" s="224" t="s">
        <v>1</v>
      </c>
      <c r="B19" s="225"/>
      <c r="C19" s="225"/>
      <c r="D19" s="225"/>
      <c r="E19" s="225"/>
      <c r="F19" s="225"/>
      <c r="I19" s="29"/>
      <c r="J19" s="29"/>
      <c r="K19" s="29"/>
      <c r="L19" s="29"/>
      <c r="M19" s="29"/>
    </row>
    <row r="20" spans="1:22" ht="15" customHeight="1" thickBot="1" x14ac:dyDescent="0.3">
      <c r="A20" s="206" t="s">
        <v>106</v>
      </c>
      <c r="B20" s="206"/>
      <c r="C20" s="206"/>
      <c r="D20" s="206"/>
      <c r="E20" s="206"/>
      <c r="F20" s="206"/>
      <c r="I20" s="28"/>
      <c r="J20" s="28"/>
      <c r="K20" s="28"/>
      <c r="L20" s="28"/>
      <c r="M20" s="28"/>
      <c r="O20" s="93">
        <f>K90</f>
        <v>20.052872465487354</v>
      </c>
      <c r="R20" s="93">
        <f>K90</f>
        <v>20.052872465487354</v>
      </c>
    </row>
    <row r="21" spans="1:22" ht="16.5" customHeight="1" x14ac:dyDescent="0.25">
      <c r="H21" s="226" t="s">
        <v>294</v>
      </c>
      <c r="I21" s="227"/>
      <c r="J21" s="227"/>
      <c r="K21" s="227"/>
      <c r="L21" s="227"/>
      <c r="M21" s="227"/>
      <c r="N21" s="228"/>
      <c r="O21" s="2"/>
    </row>
    <row r="22" spans="1:22" ht="15.75" thickBot="1" x14ac:dyDescent="0.3">
      <c r="H22" s="229"/>
      <c r="I22" s="230"/>
      <c r="J22" s="230"/>
      <c r="K22" s="230"/>
      <c r="L22" s="230"/>
      <c r="M22" s="230"/>
      <c r="N22" s="231"/>
    </row>
    <row r="23" spans="1:22" ht="17.25" x14ac:dyDescent="0.3">
      <c r="A23" s="224" t="s">
        <v>2</v>
      </c>
      <c r="B23" s="225"/>
      <c r="C23" s="225"/>
      <c r="D23" s="225"/>
      <c r="E23" s="225"/>
      <c r="F23" s="225"/>
      <c r="L23" s="2"/>
    </row>
    <row r="24" spans="1:22" ht="15.75" x14ac:dyDescent="0.25">
      <c r="A24" s="214" t="s">
        <v>11</v>
      </c>
      <c r="B24" s="215"/>
      <c r="C24" s="215"/>
      <c r="D24" s="215"/>
      <c r="E24" s="198">
        <f>IF($F$7=$D$95,F100,IF($F$7=$D$107,F112,IF($F$7=$N$95,Q100,IF($F$7=$O$107,P112,""))))</f>
        <v>6</v>
      </c>
      <c r="F24" s="198"/>
    </row>
    <row r="25" spans="1:22" ht="15.75" x14ac:dyDescent="0.25">
      <c r="A25" s="214" t="s">
        <v>9</v>
      </c>
      <c r="B25" s="215"/>
      <c r="C25" s="215"/>
      <c r="D25" s="216"/>
      <c r="E25" s="218">
        <f>Insumos!$B$5</f>
        <v>2453.2399999999998</v>
      </c>
      <c r="F25" s="218"/>
    </row>
    <row r="26" spans="1:22" ht="15.75" x14ac:dyDescent="0.25">
      <c r="A26" s="214" t="s">
        <v>147</v>
      </c>
      <c r="B26" s="215"/>
      <c r="C26" s="215"/>
      <c r="D26" s="216"/>
      <c r="E26" s="219">
        <v>2</v>
      </c>
      <c r="F26" s="220"/>
    </row>
    <row r="27" spans="1:22" ht="15.75" x14ac:dyDescent="0.25">
      <c r="A27" s="214" t="s">
        <v>148</v>
      </c>
      <c r="B27" s="215"/>
      <c r="C27" s="215"/>
      <c r="D27" s="216"/>
      <c r="E27" s="221">
        <f>Insumos!$B$6</f>
        <v>975.83</v>
      </c>
      <c r="F27" s="222"/>
    </row>
    <row r="28" spans="1:22" ht="15.75" x14ac:dyDescent="0.25">
      <c r="A28" s="214" t="s">
        <v>149</v>
      </c>
      <c r="B28" s="215"/>
      <c r="C28" s="215"/>
      <c r="D28" s="216"/>
      <c r="E28" s="217">
        <v>100000</v>
      </c>
      <c r="F28" s="217"/>
    </row>
    <row r="31" spans="1:22" ht="15.75" x14ac:dyDescent="0.25">
      <c r="A31" s="191" t="s">
        <v>3</v>
      </c>
      <c r="B31" s="192"/>
      <c r="C31" s="192"/>
      <c r="D31" s="192"/>
      <c r="E31" s="192"/>
      <c r="F31" s="192"/>
    </row>
    <row r="32" spans="1:22" ht="15.75" x14ac:dyDescent="0.25">
      <c r="A32" s="214" t="s">
        <v>19</v>
      </c>
      <c r="B32" s="215"/>
      <c r="C32" s="215"/>
      <c r="D32" s="216"/>
      <c r="E32" s="218">
        <f>Insumos!$B$7</f>
        <v>7.6</v>
      </c>
      <c r="F32" s="218"/>
    </row>
    <row r="33" spans="1:14" ht="15.75" x14ac:dyDescent="0.25">
      <c r="A33" s="214" t="s">
        <v>17</v>
      </c>
      <c r="B33" s="215"/>
      <c r="C33" s="215"/>
      <c r="D33" s="216"/>
      <c r="E33" s="46">
        <f>IF($F$7=$D$95,G103,IF($F$7=$D$107,G115,IF($F$7=$N$95,Q103,IF($F$7=$O$107,Q115,""))))</f>
        <v>2.6</v>
      </c>
      <c r="F33" s="50" t="s">
        <v>18</v>
      </c>
    </row>
    <row r="36" spans="1:14" ht="17.25" x14ac:dyDescent="0.3">
      <c r="A36" s="208" t="s">
        <v>20</v>
      </c>
      <c r="B36" s="209"/>
      <c r="C36" s="209"/>
      <c r="D36" s="209"/>
      <c r="E36" s="209"/>
    </row>
    <row r="37" spans="1:14" x14ac:dyDescent="0.25">
      <c r="B37" s="210"/>
      <c r="C37" s="210"/>
      <c r="D37" s="211"/>
      <c r="E37" s="212" t="s">
        <v>4</v>
      </c>
      <c r="F37" s="213"/>
    </row>
    <row r="38" spans="1:14" ht="15.75" x14ac:dyDescent="0.25">
      <c r="A38" s="46" t="s">
        <v>346</v>
      </c>
      <c r="B38" s="214" t="s">
        <v>52</v>
      </c>
      <c r="C38" s="215"/>
      <c r="D38" s="216"/>
      <c r="E38" s="46">
        <f>1/E33</f>
        <v>0.38461538461538458</v>
      </c>
      <c r="F38" s="7" t="s">
        <v>5</v>
      </c>
      <c r="G38" s="7"/>
      <c r="H38" s="7"/>
      <c r="I38" s="7"/>
      <c r="J38" s="7"/>
      <c r="K38" s="58">
        <f>E32*E38</f>
        <v>2.9230769230769225</v>
      </c>
      <c r="L38" s="51" t="s">
        <v>13</v>
      </c>
      <c r="N38" s="2"/>
    </row>
    <row r="39" spans="1:14" ht="15.75" x14ac:dyDescent="0.25">
      <c r="A39" s="46" t="s">
        <v>6</v>
      </c>
      <c r="B39" s="206" t="s">
        <v>152</v>
      </c>
      <c r="C39" s="206"/>
      <c r="D39" s="206"/>
      <c r="E39" s="46">
        <v>0.04</v>
      </c>
      <c r="F39" s="7" t="s">
        <v>5</v>
      </c>
      <c r="G39" s="7"/>
      <c r="H39" s="7"/>
      <c r="I39" s="7"/>
      <c r="J39" s="7"/>
      <c r="K39" s="58">
        <f>E39*E32</f>
        <v>0.30399999999999999</v>
      </c>
      <c r="L39" s="51" t="s">
        <v>13</v>
      </c>
    </row>
    <row r="40" spans="1:14" ht="15.75" x14ac:dyDescent="0.25">
      <c r="A40" s="46" t="s">
        <v>7</v>
      </c>
      <c r="B40" s="206" t="s">
        <v>8</v>
      </c>
      <c r="C40" s="206"/>
      <c r="D40" s="206"/>
      <c r="E40" s="46"/>
      <c r="F40" s="7"/>
      <c r="G40" s="7"/>
      <c r="H40" s="7"/>
      <c r="I40" s="7"/>
      <c r="J40" s="7"/>
      <c r="K40" s="58">
        <f>((E25*E24)+(E26*E24*E27))/E28</f>
        <v>0.26429400000000003</v>
      </c>
      <c r="L40" s="51" t="s">
        <v>13</v>
      </c>
    </row>
    <row r="41" spans="1:14" ht="15.75" x14ac:dyDescent="0.25">
      <c r="A41" s="46" t="s">
        <v>12</v>
      </c>
      <c r="B41" s="206" t="s">
        <v>153</v>
      </c>
      <c r="C41" s="206"/>
      <c r="D41" s="206"/>
      <c r="E41" s="70">
        <v>3.0000000000000001E-6</v>
      </c>
      <c r="F41" s="193" t="s">
        <v>10</v>
      </c>
      <c r="G41" s="193"/>
      <c r="H41" s="193"/>
      <c r="I41" s="7"/>
      <c r="J41" s="7"/>
      <c r="K41" s="58">
        <f>(E41*E12)-(K40)</f>
        <v>1.32891114</v>
      </c>
      <c r="L41" s="51" t="s">
        <v>13</v>
      </c>
    </row>
    <row r="42" spans="1:14" ht="15.75" x14ac:dyDescent="0.25">
      <c r="A42" s="207"/>
      <c r="B42" s="207"/>
      <c r="C42" s="207"/>
      <c r="D42" s="207"/>
      <c r="E42" s="207"/>
      <c r="F42" s="7"/>
      <c r="G42" s="7"/>
      <c r="H42" s="7"/>
      <c r="I42" s="7"/>
      <c r="J42" s="7"/>
      <c r="K42" s="58">
        <f>SUM(K38:K41)</f>
        <v>4.8202820630769221</v>
      </c>
      <c r="L42" s="51" t="s">
        <v>13</v>
      </c>
    </row>
    <row r="43" spans="1:14" ht="21" customHeight="1" x14ac:dyDescent="0.25">
      <c r="A43" s="200" t="s">
        <v>144</v>
      </c>
      <c r="B43" s="200"/>
      <c r="C43" s="200"/>
      <c r="D43" s="200"/>
      <c r="E43" s="200"/>
      <c r="F43" s="200"/>
      <c r="G43" s="200"/>
      <c r="H43" s="200"/>
      <c r="I43" s="200"/>
      <c r="J43" s="200"/>
      <c r="K43" s="68">
        <f>K42*O14</f>
        <v>4619.9511405354451</v>
      </c>
      <c r="L43" s="52" t="s">
        <v>16</v>
      </c>
    </row>
    <row r="45" spans="1:14" ht="18.75" x14ac:dyDescent="0.3">
      <c r="A45" s="190" t="s">
        <v>145</v>
      </c>
      <c r="B45" s="190"/>
      <c r="C45" s="190"/>
      <c r="D45" s="190"/>
      <c r="E45" s="190"/>
      <c r="F45" s="190"/>
      <c r="G45" s="190"/>
      <c r="H45" s="190"/>
      <c r="I45" s="190"/>
      <c r="J45" s="190"/>
      <c r="K45" s="65">
        <f>K42*O16*1.1514</f>
        <v>3496.5458434788638</v>
      </c>
      <c r="L45" s="53" t="s">
        <v>16</v>
      </c>
    </row>
    <row r="46" spans="1:14" ht="15.75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</row>
    <row r="47" spans="1:14" ht="18.75" x14ac:dyDescent="0.3">
      <c r="A47" s="190" t="s">
        <v>146</v>
      </c>
      <c r="B47" s="190"/>
      <c r="C47" s="190"/>
      <c r="D47" s="190"/>
      <c r="E47" s="190"/>
      <c r="F47" s="190"/>
      <c r="G47" s="190"/>
      <c r="H47" s="190"/>
      <c r="I47" s="190"/>
      <c r="J47" s="190"/>
      <c r="K47" s="65">
        <f>K43+K45</f>
        <v>8116.4969840143094</v>
      </c>
      <c r="L47" s="54" t="s">
        <v>16</v>
      </c>
    </row>
    <row r="49" spans="1:12" ht="15.75" x14ac:dyDescent="0.25">
      <c r="A49" s="197" t="s">
        <v>21</v>
      </c>
      <c r="B49" s="204"/>
      <c r="C49" s="204"/>
      <c r="D49" s="204"/>
      <c r="E49" s="204"/>
      <c r="F49" s="7"/>
      <c r="G49" s="7"/>
      <c r="H49" s="7"/>
      <c r="I49" s="7"/>
      <c r="J49" s="7"/>
      <c r="K49" s="7"/>
      <c r="L49" s="7"/>
    </row>
    <row r="50" spans="1:12" ht="15.75" x14ac:dyDescent="0.25">
      <c r="A50" s="3"/>
      <c r="B50" s="45"/>
      <c r="C50" s="45"/>
      <c r="D50" s="45"/>
      <c r="E50" s="45"/>
      <c r="F50" s="7"/>
      <c r="G50" s="7"/>
      <c r="H50" s="205" t="s">
        <v>25</v>
      </c>
      <c r="I50" s="205"/>
      <c r="J50" s="7"/>
      <c r="K50" s="7"/>
      <c r="L50" s="7"/>
    </row>
    <row r="51" spans="1:12" ht="15.75" x14ac:dyDescent="0.25">
      <c r="A51" s="7" t="s">
        <v>22</v>
      </c>
      <c r="B51" s="7"/>
      <c r="C51" s="193" t="s">
        <v>24</v>
      </c>
      <c r="D51" s="193"/>
      <c r="E51" s="193"/>
      <c r="F51" s="193"/>
      <c r="G51" s="7"/>
      <c r="H51" s="195"/>
      <c r="I51" s="195"/>
      <c r="J51" s="58"/>
      <c r="K51" s="129">
        <f>IF(L51="LINEAR",'DEPRECIAÇÃO LINEAR'!H23,(VLOOKUP(E15,'DEPRECIAÇÃO LINEAR'!W12:AM25,17,0)))</f>
        <v>3983.0128500000005</v>
      </c>
      <c r="L51" s="55" t="s">
        <v>130</v>
      </c>
    </row>
    <row r="52" spans="1:12" ht="15.75" x14ac:dyDescent="0.25">
      <c r="A52" s="7" t="s">
        <v>26</v>
      </c>
      <c r="B52" s="7"/>
      <c r="C52" s="193" t="s">
        <v>27</v>
      </c>
      <c r="D52" s="193"/>
      <c r="E52" s="193"/>
      <c r="F52" s="193"/>
      <c r="G52" s="7"/>
      <c r="H52" s="7"/>
      <c r="I52" s="7"/>
      <c r="J52" s="58"/>
      <c r="K52" s="58"/>
      <c r="L52" s="7"/>
    </row>
    <row r="53" spans="1:12" ht="15.75" x14ac:dyDescent="0.25">
      <c r="A53" s="7"/>
      <c r="B53" s="7" t="s">
        <v>31</v>
      </c>
      <c r="C53" s="193" t="s">
        <v>28</v>
      </c>
      <c r="D53" s="193"/>
      <c r="E53" s="193"/>
      <c r="F53" s="193"/>
      <c r="G53" s="7"/>
      <c r="H53" s="7"/>
      <c r="I53" s="7"/>
      <c r="J53" s="58"/>
      <c r="K53" s="58">
        <f>'Motorista de Veiculo Pesado'!E90</f>
        <v>8468.4608078400015</v>
      </c>
      <c r="L53" s="7"/>
    </row>
    <row r="54" spans="1:12" ht="15.75" x14ac:dyDescent="0.25">
      <c r="A54" s="7"/>
      <c r="B54" s="7" t="s">
        <v>32</v>
      </c>
      <c r="C54" s="193" t="s">
        <v>29</v>
      </c>
      <c r="D54" s="193"/>
      <c r="E54" s="193"/>
      <c r="F54" s="193"/>
      <c r="G54" s="7"/>
      <c r="H54" s="7"/>
      <c r="I54" s="7"/>
      <c r="J54" s="58"/>
      <c r="K54" s="58">
        <f>'Monitor de Transporte Escolar'!E90</f>
        <v>4485.726463695999</v>
      </c>
      <c r="L54" s="7"/>
    </row>
    <row r="55" spans="1:12" ht="15.75" x14ac:dyDescent="0.25">
      <c r="A55" s="7" t="s">
        <v>30</v>
      </c>
      <c r="B55" s="7"/>
      <c r="C55" s="193" t="s">
        <v>34</v>
      </c>
      <c r="D55" s="193"/>
      <c r="E55" s="193"/>
      <c r="F55" s="193"/>
      <c r="G55" s="7"/>
      <c r="H55" s="7"/>
      <c r="I55" s="7"/>
      <c r="J55" s="58"/>
      <c r="K55" s="58"/>
      <c r="L55" s="56"/>
    </row>
    <row r="56" spans="1:12" ht="15.75" x14ac:dyDescent="0.25">
      <c r="A56" s="7"/>
      <c r="B56" s="7" t="s">
        <v>33</v>
      </c>
      <c r="C56" s="7" t="s">
        <v>35</v>
      </c>
      <c r="D56" s="7"/>
      <c r="E56" s="7"/>
      <c r="F56" s="7"/>
      <c r="G56" s="7"/>
      <c r="H56" s="7"/>
      <c r="I56" s="7"/>
      <c r="J56" s="58">
        <f>1/100*E12</f>
        <v>5310.6837999999998</v>
      </c>
      <c r="K56" s="58">
        <f>J56/12</f>
        <v>442.55698333333333</v>
      </c>
      <c r="L56" s="7"/>
    </row>
    <row r="57" spans="1:12" ht="15.75" x14ac:dyDescent="0.25">
      <c r="A57" s="7"/>
      <c r="B57" s="7" t="s">
        <v>36</v>
      </c>
      <c r="C57" s="7" t="s">
        <v>37</v>
      </c>
      <c r="D57" s="7"/>
      <c r="E57" s="7"/>
      <c r="F57" s="7"/>
      <c r="G57" s="7"/>
      <c r="H57" s="7"/>
      <c r="I57" s="7"/>
      <c r="J57" s="58">
        <v>230.25</v>
      </c>
      <c r="K57" s="58">
        <f>J57/12</f>
        <v>19.1875</v>
      </c>
      <c r="L57" s="7"/>
    </row>
    <row r="58" spans="1:12" ht="15.75" x14ac:dyDescent="0.25">
      <c r="A58" s="7"/>
      <c r="B58" s="7" t="s">
        <v>38</v>
      </c>
      <c r="C58" s="193" t="s">
        <v>39</v>
      </c>
      <c r="D58" s="193"/>
      <c r="E58" s="193"/>
      <c r="F58" s="193"/>
      <c r="G58" s="7"/>
      <c r="H58" s="7"/>
      <c r="I58" s="7"/>
      <c r="J58" s="58">
        <v>161.80000000000001</v>
      </c>
      <c r="K58" s="58">
        <f>J58/12</f>
        <v>13.483333333333334</v>
      </c>
      <c r="L58" s="7"/>
    </row>
    <row r="59" spans="1:12" ht="15.75" x14ac:dyDescent="0.25">
      <c r="A59" s="7" t="s">
        <v>41</v>
      </c>
      <c r="B59" s="7"/>
      <c r="C59" s="7" t="s">
        <v>40</v>
      </c>
      <c r="D59" s="7"/>
      <c r="E59" s="7"/>
      <c r="F59" s="7"/>
      <c r="G59" s="7"/>
      <c r="H59" s="7"/>
      <c r="I59" s="7"/>
      <c r="J59" s="58">
        <v>0</v>
      </c>
      <c r="K59" s="58">
        <f>J59/12</f>
        <v>0</v>
      </c>
      <c r="L59" s="7"/>
    </row>
    <row r="60" spans="1:12" ht="15.75" x14ac:dyDescent="0.25">
      <c r="A60" s="7" t="s">
        <v>57</v>
      </c>
      <c r="B60" s="7"/>
      <c r="C60" s="193" t="s">
        <v>58</v>
      </c>
      <c r="D60" s="193"/>
      <c r="E60" s="193"/>
      <c r="F60" s="193"/>
      <c r="G60" s="193"/>
      <c r="H60" s="7"/>
      <c r="I60" s="7"/>
      <c r="J60" s="58">
        <f>Insumos!$B$8</f>
        <v>350.88</v>
      </c>
      <c r="K60" s="58">
        <f>4*J60</f>
        <v>1403.52</v>
      </c>
      <c r="L60" s="7"/>
    </row>
    <row r="61" spans="1:12" ht="15.75" x14ac:dyDescent="0.25">
      <c r="A61" s="7" t="s">
        <v>60</v>
      </c>
      <c r="B61" s="7"/>
      <c r="C61" s="45" t="s">
        <v>63</v>
      </c>
      <c r="D61" s="45"/>
      <c r="E61" s="45"/>
      <c r="F61" s="45"/>
      <c r="G61" s="45"/>
      <c r="H61" s="7"/>
      <c r="I61" s="7"/>
      <c r="J61" s="58">
        <f>Insumos!$B$9</f>
        <v>2680.95</v>
      </c>
      <c r="K61" s="58">
        <f>J61/12</f>
        <v>223.41249999999999</v>
      </c>
      <c r="L61" s="7"/>
    </row>
    <row r="62" spans="1:12" ht="15.75" x14ac:dyDescent="0.25">
      <c r="A62" s="7" t="s">
        <v>61</v>
      </c>
      <c r="B62" s="7"/>
      <c r="C62" s="193" t="s">
        <v>62</v>
      </c>
      <c r="D62" s="193"/>
      <c r="E62" s="193"/>
      <c r="F62" s="45"/>
      <c r="G62" s="45"/>
      <c r="H62" s="7"/>
      <c r="I62" s="7"/>
      <c r="J62" s="60">
        <f>Insumos!$B$10</f>
        <v>932.23</v>
      </c>
      <c r="K62" s="58">
        <f>J62/12</f>
        <v>77.685833333333335</v>
      </c>
      <c r="L62" s="7"/>
    </row>
    <row r="63" spans="1:12" ht="15.75" x14ac:dyDescent="0.25">
      <c r="A63" s="7" t="s">
        <v>142</v>
      </c>
      <c r="B63" s="7"/>
      <c r="C63" s="203" t="s">
        <v>143</v>
      </c>
      <c r="D63" s="203"/>
      <c r="E63" s="203"/>
      <c r="F63" s="203"/>
      <c r="G63" s="45"/>
      <c r="H63" s="7"/>
      <c r="I63" s="7"/>
      <c r="J63" s="60">
        <f>Insumos!$B$11</f>
        <v>471.82</v>
      </c>
      <c r="K63" s="72">
        <f>J63/24</f>
        <v>19.659166666666668</v>
      </c>
      <c r="L63" s="7"/>
    </row>
    <row r="64" spans="1:12" ht="15.75" x14ac:dyDescent="0.25">
      <c r="A64" s="7" t="s">
        <v>340</v>
      </c>
      <c r="B64" s="7"/>
      <c r="C64" s="165" t="s">
        <v>351</v>
      </c>
      <c r="D64" s="165"/>
      <c r="E64" s="165"/>
      <c r="F64" s="165"/>
      <c r="G64" s="164"/>
      <c r="H64" s="7"/>
      <c r="I64" s="7"/>
      <c r="J64" s="60">
        <f>Insumos!$B$12</f>
        <v>14.372399999999997</v>
      </c>
      <c r="K64" s="72">
        <f>J64/60</f>
        <v>0.23953999999999995</v>
      </c>
      <c r="L64" s="7"/>
    </row>
    <row r="65" spans="1:18" ht="20.25" customHeight="1" x14ac:dyDescent="0.25">
      <c r="A65" s="200" t="s">
        <v>43</v>
      </c>
      <c r="B65" s="200"/>
      <c r="C65" s="200"/>
      <c r="D65" s="200"/>
      <c r="E65" s="200"/>
      <c r="F65" s="200"/>
      <c r="G65" s="200"/>
      <c r="H65" s="200"/>
      <c r="I65" s="200"/>
      <c r="J65" s="200"/>
      <c r="K65" s="67">
        <f>SUM(K51:K64)</f>
        <v>19136.944978202664</v>
      </c>
      <c r="L65" s="57" t="s">
        <v>16</v>
      </c>
      <c r="M65" s="4"/>
    </row>
    <row r="67" spans="1:18" ht="19.5" customHeight="1" x14ac:dyDescent="0.3">
      <c r="A67" s="201" t="s">
        <v>132</v>
      </c>
      <c r="B67" s="201"/>
      <c r="C67" s="201"/>
      <c r="D67" s="201"/>
      <c r="E67" s="201"/>
      <c r="F67" s="201"/>
      <c r="G67" s="201"/>
      <c r="H67" s="201"/>
      <c r="I67" s="201"/>
      <c r="K67" s="66">
        <f>K47+K65</f>
        <v>27253.441962216973</v>
      </c>
    </row>
    <row r="69" spans="1:18" ht="15.75" x14ac:dyDescent="0.25">
      <c r="A69" s="197" t="s">
        <v>133</v>
      </c>
      <c r="B69" s="197"/>
      <c r="C69" s="197"/>
      <c r="D69" s="197"/>
      <c r="E69" s="197"/>
      <c r="I69" s="202" t="s">
        <v>55</v>
      </c>
      <c r="J69" s="202"/>
    </row>
    <row r="70" spans="1:18" ht="15.75" x14ac:dyDescent="0.25">
      <c r="A70" s="7" t="s">
        <v>341</v>
      </c>
      <c r="B70" s="7"/>
      <c r="C70" s="193" t="s">
        <v>54</v>
      </c>
      <c r="D70" s="193"/>
      <c r="E70" s="193"/>
      <c r="F70" s="193"/>
      <c r="G70" s="7"/>
      <c r="H70" s="7"/>
      <c r="I70" s="168">
        <f>Insumos!$B$15</f>
        <v>2.6599999999999999E-2</v>
      </c>
      <c r="J70" s="7"/>
      <c r="K70" s="58">
        <f>I70*K67</f>
        <v>724.94155619497144</v>
      </c>
      <c r="L70" s="7"/>
    </row>
    <row r="71" spans="1:18" ht="15.75" x14ac:dyDescent="0.25">
      <c r="A71" s="7" t="s">
        <v>342</v>
      </c>
      <c r="B71" s="7"/>
      <c r="C71" s="193" t="s">
        <v>59</v>
      </c>
      <c r="D71" s="193"/>
      <c r="E71" s="193"/>
      <c r="F71" s="193"/>
      <c r="G71" s="7"/>
      <c r="H71" s="7"/>
      <c r="I71" s="169">
        <f>Insumos!$B$16</f>
        <v>0.04</v>
      </c>
      <c r="J71" s="7"/>
      <c r="K71" s="58">
        <f>I71*(K67+K70)</f>
        <v>1119.1353407364779</v>
      </c>
      <c r="L71" s="7"/>
    </row>
    <row r="72" spans="1:18" ht="18.75" x14ac:dyDescent="0.3">
      <c r="A72" s="7"/>
      <c r="B72" s="7"/>
      <c r="C72" s="7"/>
      <c r="D72" s="7"/>
      <c r="E72" s="7"/>
      <c r="F72" s="7"/>
      <c r="G72" s="7"/>
      <c r="H72" s="7"/>
      <c r="I72" s="7"/>
      <c r="J72" s="61" t="s">
        <v>131</v>
      </c>
      <c r="K72" s="65">
        <f>SUM(K70:K71)</f>
        <v>1844.0768969314495</v>
      </c>
      <c r="L72" s="54" t="s">
        <v>16</v>
      </c>
    </row>
    <row r="74" spans="1:18" ht="15.75" x14ac:dyDescent="0.25">
      <c r="A74" s="197" t="s">
        <v>134</v>
      </c>
      <c r="B74" s="197"/>
      <c r="C74" s="197"/>
      <c r="D74" s="197"/>
      <c r="E74" s="197"/>
      <c r="F74" s="7"/>
      <c r="G74" s="7"/>
      <c r="H74" s="7"/>
      <c r="I74" s="7"/>
      <c r="J74" s="7"/>
      <c r="K74" s="7"/>
      <c r="L74" s="7"/>
    </row>
    <row r="75" spans="1:18" ht="15.75" x14ac:dyDescent="0.25">
      <c r="A75" s="193" t="s">
        <v>42</v>
      </c>
      <c r="B75" s="193"/>
      <c r="C75" s="193"/>
      <c r="D75" s="193"/>
      <c r="E75" s="193"/>
      <c r="F75" s="193"/>
      <c r="G75" s="7"/>
      <c r="H75" s="7"/>
      <c r="I75" s="198" t="s">
        <v>47</v>
      </c>
      <c r="J75" s="198"/>
      <c r="K75" s="51">
        <f>K67+K72</f>
        <v>29097.518859148422</v>
      </c>
      <c r="L75" s="7"/>
    </row>
    <row r="76" spans="1:18" ht="15.75" x14ac:dyDescent="0.25">
      <c r="A76" s="7" t="s">
        <v>53</v>
      </c>
      <c r="C76" s="7" t="s">
        <v>44</v>
      </c>
      <c r="D76" s="7"/>
      <c r="E76" s="7"/>
      <c r="F76" s="7"/>
      <c r="G76" s="7"/>
      <c r="H76" s="7"/>
      <c r="I76" s="199">
        <f>Insumos!$B$18</f>
        <v>0.05</v>
      </c>
      <c r="J76" s="199"/>
      <c r="K76" s="51">
        <f>$K$75/(1-(SUM($I$76:$J$78)))*I76</f>
        <v>1592.6392369539367</v>
      </c>
      <c r="L76" s="7"/>
      <c r="R76" s="2"/>
    </row>
    <row r="77" spans="1:18" ht="15.75" x14ac:dyDescent="0.25">
      <c r="A77" s="7" t="s">
        <v>344</v>
      </c>
      <c r="C77" s="7" t="s">
        <v>45</v>
      </c>
      <c r="D77" s="7"/>
      <c r="E77" s="7"/>
      <c r="F77" s="7"/>
      <c r="G77" s="7"/>
      <c r="H77" s="7"/>
      <c r="I77" s="199">
        <f>Insumos!$B$19</f>
        <v>6.4999999999999997E-3</v>
      </c>
      <c r="J77" s="199"/>
      <c r="K77" s="51">
        <f>$K$75/(1-(SUM($I$76:$J$78)))*I77</f>
        <v>207.04310080401174</v>
      </c>
      <c r="L77" s="7"/>
      <c r="R77" s="2"/>
    </row>
    <row r="78" spans="1:18" ht="15.75" x14ac:dyDescent="0.25">
      <c r="A78" s="7" t="s">
        <v>345</v>
      </c>
      <c r="C78" s="7" t="s">
        <v>46</v>
      </c>
      <c r="D78" s="7"/>
      <c r="E78" s="7"/>
      <c r="F78" s="7"/>
      <c r="G78" s="7"/>
      <c r="H78" s="7"/>
      <c r="I78" s="199">
        <f>Insumos!$B$20</f>
        <v>0.03</v>
      </c>
      <c r="J78" s="199"/>
      <c r="K78" s="51">
        <f>$K$75/(1-(SUM($I$76:$J$78)))*I78</f>
        <v>955.58354217236194</v>
      </c>
      <c r="L78" s="7"/>
      <c r="R78" s="2"/>
    </row>
    <row r="79" spans="1:18" ht="21" customHeight="1" x14ac:dyDescent="0.3">
      <c r="A79" s="190" t="s">
        <v>48</v>
      </c>
      <c r="B79" s="190"/>
      <c r="C79" s="190"/>
      <c r="D79" s="190"/>
      <c r="E79" s="190"/>
      <c r="F79" s="190"/>
      <c r="G79" s="190"/>
      <c r="H79" s="190"/>
      <c r="I79" s="190"/>
      <c r="J79" s="190"/>
      <c r="K79" s="64">
        <f>SUM(K76:K78)</f>
        <v>2755.2658799303103</v>
      </c>
      <c r="L79" s="54" t="s">
        <v>16</v>
      </c>
    </row>
    <row r="81" spans="1:20" x14ac:dyDescent="0.25">
      <c r="C81" s="5"/>
      <c r="D81" s="5"/>
      <c r="E81" s="5"/>
      <c r="F81" s="5"/>
      <c r="K81" s="2"/>
    </row>
    <row r="82" spans="1:20" ht="15.75" x14ac:dyDescent="0.25">
      <c r="A82" s="191" t="s">
        <v>56</v>
      </c>
      <c r="B82" s="191"/>
      <c r="C82" s="191"/>
      <c r="D82" s="191"/>
      <c r="E82" s="191"/>
      <c r="F82" s="191"/>
      <c r="G82" s="191"/>
      <c r="H82" s="191"/>
      <c r="I82" s="191"/>
      <c r="T82" s="43"/>
    </row>
    <row r="83" spans="1:20" ht="15.75" x14ac:dyDescent="0.25">
      <c r="A83" s="6"/>
      <c r="B83" s="6"/>
      <c r="C83" s="6"/>
      <c r="D83" s="6"/>
      <c r="E83" s="6"/>
      <c r="F83" s="6"/>
      <c r="G83" s="6"/>
      <c r="H83" s="6"/>
      <c r="I83" s="6"/>
    </row>
    <row r="84" spans="1:20" ht="15.75" x14ac:dyDescent="0.25">
      <c r="A84" s="191" t="s">
        <v>51</v>
      </c>
      <c r="B84" s="192"/>
      <c r="C84" s="192"/>
      <c r="D84" s="192"/>
      <c r="E84" s="192"/>
      <c r="F84" s="192"/>
      <c r="G84" s="192"/>
      <c r="H84" s="192"/>
    </row>
    <row r="85" spans="1:20" ht="20.25" customHeight="1" x14ac:dyDescent="0.3">
      <c r="A85" s="193" t="s">
        <v>135</v>
      </c>
      <c r="B85" s="193"/>
      <c r="C85" s="193"/>
      <c r="D85" s="193"/>
      <c r="E85" s="193"/>
      <c r="F85" s="193"/>
      <c r="G85" s="193"/>
      <c r="H85" s="193"/>
      <c r="I85" s="193"/>
      <c r="J85" s="193"/>
      <c r="K85" s="62">
        <f>K67+K72+K79</f>
        <v>31852.784739078732</v>
      </c>
    </row>
    <row r="86" spans="1:20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2"/>
    </row>
    <row r="87" spans="1:20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2"/>
      <c r="P87" s="42"/>
    </row>
    <row r="88" spans="1:20" ht="8.25" customHeight="1" x14ac:dyDescent="0.25"/>
    <row r="89" spans="1:20" ht="16.5" customHeight="1" x14ac:dyDescent="0.25">
      <c r="A89" s="194" t="s">
        <v>49</v>
      </c>
      <c r="B89" s="195"/>
      <c r="C89" s="195"/>
      <c r="D89" s="195"/>
      <c r="E89" s="195"/>
      <c r="F89" s="195"/>
      <c r="G89" s="195"/>
      <c r="H89" s="195"/>
      <c r="I89" s="195"/>
      <c r="J89" s="195"/>
      <c r="K89" s="7"/>
      <c r="L89" s="7"/>
    </row>
    <row r="90" spans="1:20" ht="24.75" customHeight="1" x14ac:dyDescent="0.3">
      <c r="A90" s="196" t="s">
        <v>141</v>
      </c>
      <c r="B90" s="196"/>
      <c r="C90" s="196"/>
      <c r="D90" s="196"/>
      <c r="E90" s="196"/>
      <c r="F90" s="196"/>
      <c r="G90" s="196"/>
      <c r="H90" s="196"/>
      <c r="I90" s="196"/>
      <c r="J90" s="196"/>
      <c r="K90" s="71">
        <f>K85/O18</f>
        <v>20.052872465487354</v>
      </c>
      <c r="L90" s="63" t="s">
        <v>50</v>
      </c>
      <c r="Q90">
        <v>17.73</v>
      </c>
    </row>
    <row r="94" spans="1:20" s="10" customFormat="1" x14ac:dyDescent="0.25"/>
    <row r="95" spans="1:20" s="11" customFormat="1" ht="18.75" x14ac:dyDescent="0.3">
      <c r="B95" s="12" t="s">
        <v>69</v>
      </c>
      <c r="D95" s="188" t="s">
        <v>65</v>
      </c>
      <c r="E95" s="188"/>
      <c r="L95" s="12" t="s">
        <v>69</v>
      </c>
      <c r="M95" s="12"/>
      <c r="N95" s="12" t="s">
        <v>75</v>
      </c>
      <c r="O95" s="12"/>
    </row>
    <row r="96" spans="1:20" s="11" customFormat="1" x14ac:dyDescent="0.25"/>
    <row r="97" spans="2:18" s="11" customFormat="1" x14ac:dyDescent="0.25">
      <c r="B97" s="184" t="s">
        <v>66</v>
      </c>
      <c r="C97" s="184"/>
      <c r="D97" s="13"/>
      <c r="E97" s="13"/>
      <c r="F97" s="189">
        <v>288912</v>
      </c>
      <c r="G97" s="189"/>
      <c r="L97" s="13" t="s">
        <v>66</v>
      </c>
      <c r="M97" s="13"/>
      <c r="N97" s="13"/>
      <c r="O97" s="13"/>
      <c r="P97" s="13"/>
      <c r="Q97" s="30">
        <v>271500</v>
      </c>
    </row>
    <row r="98" spans="2:18" s="11" customFormat="1" x14ac:dyDescent="0.25">
      <c r="B98" s="13" t="s">
        <v>67</v>
      </c>
      <c r="D98" s="13"/>
      <c r="E98" s="13"/>
      <c r="F98" s="185">
        <v>10</v>
      </c>
      <c r="G98" s="185"/>
      <c r="H98" s="11" t="s">
        <v>154</v>
      </c>
      <c r="L98" s="13" t="s">
        <v>67</v>
      </c>
      <c r="M98" s="13"/>
      <c r="N98" s="13"/>
      <c r="O98" s="13"/>
      <c r="P98" s="13"/>
      <c r="Q98" s="13">
        <v>10</v>
      </c>
      <c r="R98" s="11" t="s">
        <v>154</v>
      </c>
    </row>
    <row r="99" spans="2:18" s="11" customFormat="1" x14ac:dyDescent="0.25">
      <c r="B99" s="13" t="s">
        <v>81</v>
      </c>
      <c r="D99" s="13"/>
      <c r="E99" s="13"/>
      <c r="F99" s="14"/>
      <c r="G99" s="14">
        <v>2018</v>
      </c>
      <c r="L99" s="13" t="s">
        <v>81</v>
      </c>
      <c r="N99" s="13"/>
      <c r="O99" s="13"/>
      <c r="P99" s="14"/>
      <c r="Q99" s="14">
        <v>2018</v>
      </c>
    </row>
    <row r="100" spans="2:18" s="11" customFormat="1" x14ac:dyDescent="0.25">
      <c r="B100" s="184" t="s">
        <v>68</v>
      </c>
      <c r="C100" s="184"/>
      <c r="D100" s="184"/>
      <c r="F100" s="185">
        <v>6</v>
      </c>
      <c r="G100" s="185"/>
      <c r="L100" s="13" t="s">
        <v>76</v>
      </c>
      <c r="M100" s="13"/>
      <c r="N100" s="13"/>
      <c r="O100" s="13"/>
      <c r="P100" s="13"/>
      <c r="Q100" s="13">
        <v>6</v>
      </c>
    </row>
    <row r="101" spans="2:18" s="11" customFormat="1" x14ac:dyDescent="0.25">
      <c r="B101" s="184" t="s">
        <v>71</v>
      </c>
      <c r="C101" s="184"/>
      <c r="D101" s="184"/>
      <c r="F101" s="14"/>
      <c r="G101" s="17">
        <v>100000</v>
      </c>
      <c r="L101" s="13" t="s">
        <v>71</v>
      </c>
      <c r="M101" s="13"/>
      <c r="N101" s="13"/>
      <c r="O101" s="13"/>
      <c r="P101" s="13"/>
      <c r="Q101" s="19">
        <v>100000</v>
      </c>
    </row>
    <row r="102" spans="2:18" s="11" customFormat="1" x14ac:dyDescent="0.25">
      <c r="B102" s="184" t="s">
        <v>72</v>
      </c>
      <c r="C102" s="184"/>
      <c r="D102" s="184"/>
      <c r="F102" s="14"/>
      <c r="G102" s="20">
        <v>1533.77</v>
      </c>
      <c r="L102" s="13" t="s">
        <v>72</v>
      </c>
      <c r="M102" s="13"/>
      <c r="N102" s="13"/>
      <c r="O102" s="13"/>
      <c r="P102" s="13"/>
      <c r="Q102" s="69">
        <v>860.69</v>
      </c>
    </row>
    <row r="103" spans="2:18" s="11" customFormat="1" x14ac:dyDescent="0.25">
      <c r="B103" s="184" t="s">
        <v>73</v>
      </c>
      <c r="C103" s="184"/>
      <c r="D103" s="15"/>
      <c r="F103" s="14"/>
      <c r="G103" s="14">
        <v>2.6</v>
      </c>
      <c r="H103" s="13" t="s">
        <v>74</v>
      </c>
      <c r="L103" s="13" t="s">
        <v>73</v>
      </c>
      <c r="M103" s="13"/>
      <c r="N103" s="13"/>
      <c r="O103" s="13"/>
      <c r="P103" s="13"/>
      <c r="Q103" s="13">
        <v>4.7</v>
      </c>
    </row>
    <row r="104" spans="2:18" s="11" customFormat="1" x14ac:dyDescent="0.25">
      <c r="B104" s="184" t="s">
        <v>70</v>
      </c>
      <c r="C104" s="184"/>
      <c r="D104" s="184"/>
      <c r="F104" s="185" t="s">
        <v>125</v>
      </c>
      <c r="G104" s="185"/>
      <c r="L104" s="13" t="s">
        <v>70</v>
      </c>
      <c r="M104" s="13"/>
      <c r="N104" s="13"/>
      <c r="O104" s="13"/>
      <c r="P104" s="13"/>
      <c r="Q104" s="13" t="s">
        <v>124</v>
      </c>
    </row>
    <row r="105" spans="2:18" s="11" customFormat="1" x14ac:dyDescent="0.25"/>
    <row r="106" spans="2:18" s="11" customFormat="1" x14ac:dyDescent="0.25"/>
    <row r="107" spans="2:18" s="11" customFormat="1" ht="18.75" x14ac:dyDescent="0.3">
      <c r="B107" s="12" t="s">
        <v>69</v>
      </c>
      <c r="C107" s="12"/>
      <c r="D107" s="12" t="s">
        <v>77</v>
      </c>
      <c r="E107" s="13"/>
      <c r="F107" s="13"/>
      <c r="G107" s="13"/>
      <c r="H107" s="13"/>
      <c r="L107" s="12" t="s">
        <v>69</v>
      </c>
      <c r="M107" s="16"/>
      <c r="N107" s="16"/>
      <c r="O107" s="12" t="s">
        <v>78</v>
      </c>
    </row>
    <row r="108" spans="2:18" s="11" customFormat="1" x14ac:dyDescent="0.25">
      <c r="B108" s="13"/>
      <c r="C108" s="13"/>
      <c r="D108" s="13"/>
      <c r="E108" s="13"/>
      <c r="F108" s="13"/>
      <c r="G108" s="13"/>
      <c r="H108" s="13"/>
    </row>
    <row r="109" spans="2:18" s="11" customFormat="1" x14ac:dyDescent="0.25">
      <c r="B109" s="184" t="s">
        <v>66</v>
      </c>
      <c r="C109" s="184"/>
      <c r="D109" s="13"/>
      <c r="E109" s="13"/>
      <c r="F109" s="185">
        <v>400</v>
      </c>
      <c r="G109" s="185"/>
      <c r="H109" s="13"/>
      <c r="L109" s="184" t="s">
        <v>66</v>
      </c>
      <c r="M109" s="184"/>
      <c r="N109" s="13"/>
      <c r="O109" s="13"/>
      <c r="P109" s="185" t="s">
        <v>78</v>
      </c>
      <c r="Q109" s="185"/>
      <c r="R109" s="13"/>
    </row>
    <row r="110" spans="2:18" s="11" customFormat="1" x14ac:dyDescent="0.25">
      <c r="B110" s="13" t="s">
        <v>67</v>
      </c>
      <c r="C110" s="13"/>
      <c r="D110" s="13"/>
      <c r="E110" s="13"/>
      <c r="F110" s="185">
        <v>10</v>
      </c>
      <c r="G110" s="185"/>
      <c r="H110" s="13" t="s">
        <v>154</v>
      </c>
      <c r="L110" s="13" t="s">
        <v>67</v>
      </c>
      <c r="M110" s="13"/>
      <c r="N110" s="13"/>
      <c r="O110" s="13"/>
      <c r="P110" s="185">
        <v>8</v>
      </c>
      <c r="Q110" s="185"/>
      <c r="R110" s="13" t="s">
        <v>154</v>
      </c>
    </row>
    <row r="111" spans="2:18" s="11" customFormat="1" x14ac:dyDescent="0.25">
      <c r="B111" s="13" t="s">
        <v>81</v>
      </c>
      <c r="D111" s="13"/>
      <c r="E111" s="13"/>
      <c r="F111" s="14"/>
      <c r="G111" s="14" t="s">
        <v>82</v>
      </c>
      <c r="L111" s="13" t="s">
        <v>81</v>
      </c>
      <c r="N111" s="13"/>
      <c r="O111" s="13"/>
      <c r="P111" s="14"/>
      <c r="Q111" s="14" t="s">
        <v>83</v>
      </c>
      <c r="R111" s="13"/>
    </row>
    <row r="112" spans="2:18" s="11" customFormat="1" x14ac:dyDescent="0.25">
      <c r="B112" s="184" t="s">
        <v>68</v>
      </c>
      <c r="C112" s="184"/>
      <c r="D112" s="184"/>
      <c r="E112" s="13"/>
      <c r="F112" s="185" t="s">
        <v>87</v>
      </c>
      <c r="G112" s="185"/>
      <c r="H112" s="13"/>
      <c r="L112" s="184" t="s">
        <v>68</v>
      </c>
      <c r="M112" s="184"/>
      <c r="N112" s="184"/>
      <c r="O112" s="13"/>
      <c r="P112" s="185" t="s">
        <v>88</v>
      </c>
      <c r="Q112" s="185"/>
      <c r="R112" s="13"/>
    </row>
    <row r="113" spans="2:21" s="11" customFormat="1" x14ac:dyDescent="0.25">
      <c r="B113" s="184" t="s">
        <v>71</v>
      </c>
      <c r="C113" s="184"/>
      <c r="D113" s="184"/>
      <c r="E113" s="13"/>
      <c r="F113" s="14"/>
      <c r="G113" s="14" t="s">
        <v>89</v>
      </c>
      <c r="H113" s="13"/>
      <c r="L113" s="184" t="s">
        <v>71</v>
      </c>
      <c r="M113" s="184"/>
      <c r="N113" s="184"/>
      <c r="O113" s="13"/>
      <c r="P113" s="14"/>
      <c r="Q113" s="14" t="s">
        <v>90</v>
      </c>
      <c r="R113" s="13"/>
    </row>
    <row r="114" spans="2:21" s="11" customFormat="1" x14ac:dyDescent="0.25">
      <c r="B114" s="184" t="s">
        <v>72</v>
      </c>
      <c r="C114" s="184"/>
      <c r="D114" s="184"/>
      <c r="E114" s="13"/>
      <c r="F114" s="14"/>
      <c r="G114" s="14">
        <v>400</v>
      </c>
      <c r="H114" s="13"/>
      <c r="L114" s="184" t="s">
        <v>72</v>
      </c>
      <c r="M114" s="184"/>
      <c r="N114" s="184"/>
      <c r="O114" s="13"/>
      <c r="P114" s="14"/>
      <c r="Q114" s="14">
        <v>4444</v>
      </c>
      <c r="R114" s="13"/>
    </row>
    <row r="115" spans="2:21" s="11" customFormat="1" x14ac:dyDescent="0.25">
      <c r="B115" s="184" t="s">
        <v>73</v>
      </c>
      <c r="C115" s="184"/>
      <c r="D115" s="15"/>
      <c r="E115" s="13"/>
      <c r="F115" s="14"/>
      <c r="G115" s="14">
        <v>2</v>
      </c>
      <c r="H115" s="13" t="s">
        <v>74</v>
      </c>
      <c r="L115" s="184" t="s">
        <v>73</v>
      </c>
      <c r="M115" s="184"/>
      <c r="N115" s="15"/>
      <c r="O115" s="13"/>
      <c r="P115" s="14"/>
      <c r="Q115" s="14">
        <v>4</v>
      </c>
      <c r="R115" s="13" t="s">
        <v>74</v>
      </c>
    </row>
    <row r="116" spans="2:21" s="11" customFormat="1" x14ac:dyDescent="0.25">
      <c r="B116" s="184" t="s">
        <v>70</v>
      </c>
      <c r="C116" s="184"/>
      <c r="D116" s="184"/>
      <c r="E116" s="13"/>
      <c r="F116" s="185" t="s">
        <v>85</v>
      </c>
      <c r="G116" s="185"/>
      <c r="H116" s="13"/>
      <c r="L116" s="184" t="s">
        <v>70</v>
      </c>
      <c r="M116" s="184"/>
      <c r="N116" s="184"/>
      <c r="O116" s="13"/>
      <c r="P116" s="185" t="s">
        <v>86</v>
      </c>
      <c r="Q116" s="185"/>
      <c r="R116" s="13"/>
    </row>
    <row r="117" spans="2:21" s="11" customFormat="1" x14ac:dyDescent="0.25"/>
    <row r="118" spans="2:21" s="11" customFormat="1" x14ac:dyDescent="0.25"/>
    <row r="119" spans="2:21" s="11" customFormat="1" ht="18.75" x14ac:dyDescent="0.3">
      <c r="Q119" s="12" t="s">
        <v>65</v>
      </c>
      <c r="R119" s="12"/>
      <c r="T119" s="13" t="s">
        <v>130</v>
      </c>
      <c r="U119" s="13"/>
    </row>
    <row r="120" spans="2:21" s="11" customFormat="1" ht="18.75" x14ac:dyDescent="0.3">
      <c r="Q120" s="12" t="s">
        <v>75</v>
      </c>
      <c r="T120" s="13" t="s">
        <v>129</v>
      </c>
      <c r="U120" s="13"/>
    </row>
    <row r="121" spans="2:21" s="11" customFormat="1" ht="18.75" x14ac:dyDescent="0.3">
      <c r="Q121" s="12" t="s">
        <v>77</v>
      </c>
    </row>
    <row r="122" spans="2:21" s="11" customFormat="1" ht="18" customHeight="1" x14ac:dyDescent="0.3">
      <c r="B122" s="186" t="s">
        <v>172</v>
      </c>
      <c r="C122" s="186"/>
      <c r="Q122" s="12" t="s">
        <v>78</v>
      </c>
    </row>
    <row r="123" spans="2:21" ht="0.75" hidden="1" customHeight="1" x14ac:dyDescent="0.25">
      <c r="B123" s="186"/>
      <c r="C123" s="186"/>
    </row>
    <row r="124" spans="2:21" hidden="1" x14ac:dyDescent="0.25">
      <c r="B124" s="186"/>
      <c r="C124" s="186"/>
    </row>
    <row r="125" spans="2:21" x14ac:dyDescent="0.25">
      <c r="B125" s="186"/>
      <c r="C125" s="186"/>
    </row>
    <row r="126" spans="2:21" ht="24.75" x14ac:dyDescent="0.25">
      <c r="B126" s="94" t="s">
        <v>173</v>
      </c>
      <c r="C126" s="9" t="s">
        <v>174</v>
      </c>
      <c r="D126" s="9"/>
      <c r="E126" s="9"/>
      <c r="F126" s="9" t="s">
        <v>175</v>
      </c>
      <c r="G126" s="9"/>
      <c r="H126" s="9"/>
      <c r="I126" s="9" t="s">
        <v>176</v>
      </c>
      <c r="J126" s="9"/>
      <c r="K126" s="9"/>
      <c r="L126" s="9" t="s">
        <v>177</v>
      </c>
      <c r="M126" s="9"/>
      <c r="N126" s="9"/>
    </row>
    <row r="127" spans="2:21" x14ac:dyDescent="0.25">
      <c r="B127" s="5">
        <v>40</v>
      </c>
      <c r="C127" s="2">
        <f>$K$42*(B127*21)</f>
        <v>4049.0369329846144</v>
      </c>
      <c r="F127" s="2">
        <f>(C127+$K$65)*0.05</f>
        <v>1159.2990955593639</v>
      </c>
      <c r="I127" s="2">
        <f>(C127+$K$65+F127)*6%</f>
        <v>1460.7168604047984</v>
      </c>
      <c r="L127" s="31">
        <f>(C127+$K$65+F127+I127)*14.25%</f>
        <v>3677.3546960690801</v>
      </c>
      <c r="M127" s="9"/>
      <c r="N127" s="9"/>
    </row>
    <row r="128" spans="2:21" x14ac:dyDescent="0.25">
      <c r="B128" s="5">
        <v>50</v>
      </c>
      <c r="C128" s="2">
        <f t="shared" ref="C128:C139" si="0">$K$42*(B128*21)</f>
        <v>5061.296166230768</v>
      </c>
      <c r="F128" s="2">
        <f t="shared" ref="F128:F139" si="1">(C128+$K$65)*0.05</f>
        <v>1209.9120572216716</v>
      </c>
      <c r="I128" s="2">
        <f t="shared" ref="I128:I139" si="2">(C128+$K$65+F128)*6%</f>
        <v>1524.4891920993061</v>
      </c>
      <c r="L128" s="31">
        <f t="shared" ref="L128:L139" si="3">(C128+$K$65+F128+I128)*14.25%</f>
        <v>3837.9015411100031</v>
      </c>
      <c r="M128" s="9"/>
      <c r="N128" s="9"/>
    </row>
    <row r="129" spans="2:14" x14ac:dyDescent="0.25">
      <c r="B129" s="5">
        <v>60</v>
      </c>
      <c r="C129" s="2">
        <f t="shared" si="0"/>
        <v>6073.5553994769216</v>
      </c>
      <c r="F129" s="2">
        <f t="shared" si="1"/>
        <v>1260.5250188839793</v>
      </c>
      <c r="I129" s="2">
        <f t="shared" si="2"/>
        <v>1588.2615237938137</v>
      </c>
      <c r="L129" s="31">
        <f t="shared" si="3"/>
        <v>3998.4483861509261</v>
      </c>
      <c r="M129" s="9"/>
      <c r="N129" s="9"/>
    </row>
    <row r="130" spans="2:14" x14ac:dyDescent="0.25">
      <c r="B130" s="5">
        <v>70</v>
      </c>
      <c r="C130" s="2">
        <f t="shared" si="0"/>
        <v>7085.8146327230752</v>
      </c>
      <c r="F130" s="2">
        <f t="shared" si="1"/>
        <v>1311.1379805462871</v>
      </c>
      <c r="I130" s="2">
        <f t="shared" si="2"/>
        <v>1652.0338554883215</v>
      </c>
      <c r="L130" s="31">
        <f t="shared" si="3"/>
        <v>4158.9952311918487</v>
      </c>
      <c r="M130" s="9"/>
      <c r="N130" s="9"/>
    </row>
    <row r="131" spans="2:14" x14ac:dyDescent="0.25">
      <c r="B131" s="5">
        <v>80</v>
      </c>
      <c r="C131" s="2">
        <f t="shared" si="0"/>
        <v>8098.0738659692288</v>
      </c>
      <c r="F131" s="2">
        <f t="shared" si="1"/>
        <v>1361.7509422085948</v>
      </c>
      <c r="I131" s="2">
        <f t="shared" si="2"/>
        <v>1715.806187182829</v>
      </c>
      <c r="L131" s="31">
        <f t="shared" si="3"/>
        <v>4319.5420762327722</v>
      </c>
      <c r="M131" s="9"/>
      <c r="N131" s="9"/>
    </row>
    <row r="132" spans="2:14" x14ac:dyDescent="0.25">
      <c r="B132" s="5">
        <v>90</v>
      </c>
      <c r="C132" s="2">
        <f t="shared" si="0"/>
        <v>9110.3330992153824</v>
      </c>
      <c r="F132" s="2">
        <f t="shared" si="1"/>
        <v>1412.3639038709025</v>
      </c>
      <c r="I132" s="2">
        <f t="shared" si="2"/>
        <v>1779.578518877337</v>
      </c>
      <c r="L132" s="31">
        <f t="shared" si="3"/>
        <v>4480.0889212736956</v>
      </c>
      <c r="M132" s="9"/>
      <c r="N132" s="9"/>
    </row>
    <row r="133" spans="2:14" x14ac:dyDescent="0.25">
      <c r="B133" s="5">
        <v>100</v>
      </c>
      <c r="C133" s="2">
        <f t="shared" si="0"/>
        <v>10122.592332461536</v>
      </c>
      <c r="F133" s="2">
        <f t="shared" si="1"/>
        <v>1462.97686553321</v>
      </c>
      <c r="I133" s="2">
        <f t="shared" si="2"/>
        <v>1843.3508505718444</v>
      </c>
      <c r="L133" s="31">
        <f t="shared" si="3"/>
        <v>4640.6357663146182</v>
      </c>
      <c r="M133" s="9"/>
      <c r="N133" s="9"/>
    </row>
    <row r="134" spans="2:14" x14ac:dyDescent="0.25">
      <c r="B134" s="5">
        <v>110</v>
      </c>
      <c r="C134" s="2">
        <f t="shared" si="0"/>
        <v>11134.85156570769</v>
      </c>
      <c r="F134" s="2">
        <f t="shared" si="1"/>
        <v>1513.5898271955177</v>
      </c>
      <c r="I134" s="2">
        <f t="shared" si="2"/>
        <v>1907.1231822663524</v>
      </c>
      <c r="L134" s="31">
        <f t="shared" si="3"/>
        <v>4801.1826113555417</v>
      </c>
      <c r="M134" s="9"/>
      <c r="N134" s="9"/>
    </row>
    <row r="135" spans="2:14" x14ac:dyDescent="0.25">
      <c r="B135" s="5">
        <v>120</v>
      </c>
      <c r="C135" s="2">
        <f t="shared" si="0"/>
        <v>12147.110798953843</v>
      </c>
      <c r="F135" s="2">
        <f t="shared" si="1"/>
        <v>1564.2027888578255</v>
      </c>
      <c r="I135" s="2">
        <f t="shared" si="2"/>
        <v>1970.8955139608597</v>
      </c>
      <c r="L135" s="31">
        <f t="shared" si="3"/>
        <v>4961.7294563964642</v>
      </c>
      <c r="M135" s="9"/>
      <c r="N135" s="9"/>
    </row>
    <row r="136" spans="2:14" x14ac:dyDescent="0.25">
      <c r="B136" s="5">
        <v>130</v>
      </c>
      <c r="C136" s="2">
        <f t="shared" si="0"/>
        <v>13159.370032199997</v>
      </c>
      <c r="F136" s="2">
        <f t="shared" si="1"/>
        <v>1614.8157505201332</v>
      </c>
      <c r="I136" s="2">
        <f t="shared" si="2"/>
        <v>2034.6678456553677</v>
      </c>
      <c r="L136" s="31">
        <f t="shared" si="3"/>
        <v>5122.2763014373886</v>
      </c>
      <c r="M136" s="9"/>
      <c r="N136" s="9"/>
    </row>
    <row r="137" spans="2:14" x14ac:dyDescent="0.25">
      <c r="B137" s="5">
        <v>140</v>
      </c>
      <c r="C137" s="2">
        <f t="shared" si="0"/>
        <v>14171.62926544615</v>
      </c>
      <c r="F137" s="2">
        <f t="shared" si="1"/>
        <v>1665.4287121824409</v>
      </c>
      <c r="I137" s="2">
        <f t="shared" si="2"/>
        <v>2098.4401773498753</v>
      </c>
      <c r="L137" s="31">
        <f t="shared" si="3"/>
        <v>5282.8231464783103</v>
      </c>
      <c r="M137" s="9"/>
      <c r="N137" s="9"/>
    </row>
    <row r="138" spans="2:14" x14ac:dyDescent="0.25">
      <c r="B138" s="5">
        <v>150</v>
      </c>
      <c r="C138" s="2">
        <f t="shared" si="0"/>
        <v>15183.888498692304</v>
      </c>
      <c r="F138" s="2">
        <f t="shared" si="1"/>
        <v>1716.0416738447486</v>
      </c>
      <c r="I138" s="2">
        <f t="shared" si="2"/>
        <v>2162.2125090443828</v>
      </c>
      <c r="L138" s="31">
        <f t="shared" si="3"/>
        <v>5443.3699915192337</v>
      </c>
      <c r="M138" s="9"/>
      <c r="N138" s="9"/>
    </row>
    <row r="139" spans="2:14" x14ac:dyDescent="0.25">
      <c r="B139" s="5">
        <v>160</v>
      </c>
      <c r="C139" s="2">
        <f t="shared" si="0"/>
        <v>16196.147731938458</v>
      </c>
      <c r="F139" s="2">
        <f t="shared" si="1"/>
        <v>1766.6546355070561</v>
      </c>
      <c r="I139" s="2">
        <f t="shared" si="2"/>
        <v>2225.9848407388904</v>
      </c>
      <c r="L139" s="31">
        <f t="shared" si="3"/>
        <v>5603.9168365601563</v>
      </c>
      <c r="M139" s="9"/>
      <c r="N139" s="9"/>
    </row>
    <row r="140" spans="2:14" x14ac:dyDescent="0.25">
      <c r="B140" s="5"/>
    </row>
    <row r="143" spans="2:14" x14ac:dyDescent="0.25">
      <c r="B143" s="187" t="s">
        <v>178</v>
      </c>
      <c r="C143" s="187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</row>
    <row r="144" spans="2:14" x14ac:dyDescent="0.25">
      <c r="B144" s="187"/>
      <c r="C144" s="187"/>
    </row>
    <row r="145" spans="2:14" x14ac:dyDescent="0.25">
      <c r="B145" s="187"/>
      <c r="C145" s="187"/>
    </row>
    <row r="146" spans="2:14" x14ac:dyDescent="0.25">
      <c r="B146" s="187"/>
      <c r="C146" s="187"/>
    </row>
    <row r="147" spans="2:14" ht="24.75" x14ac:dyDescent="0.25">
      <c r="B147" s="94" t="s">
        <v>173</v>
      </c>
      <c r="C147" s="9" t="s">
        <v>174</v>
      </c>
      <c r="D147" s="9"/>
      <c r="E147" s="9"/>
      <c r="F147" s="9" t="s">
        <v>175</v>
      </c>
      <c r="G147" s="9"/>
      <c r="H147" s="9"/>
      <c r="I147" s="9" t="s">
        <v>176</v>
      </c>
      <c r="J147" s="9"/>
      <c r="K147" s="9"/>
      <c r="L147" s="9" t="s">
        <v>177</v>
      </c>
      <c r="M147" s="9"/>
      <c r="N147" s="9"/>
    </row>
    <row r="148" spans="2:14" x14ac:dyDescent="0.25">
      <c r="B148" s="5">
        <v>40</v>
      </c>
      <c r="C148" s="2">
        <f>($K$42*(B148*21))*1.154</f>
        <v>4672.5886206642444</v>
      </c>
      <c r="F148" s="2">
        <f>(C148+$K$65)*0.05</f>
        <v>1190.4766799433455</v>
      </c>
      <c r="I148" s="2">
        <f>(C148+$K$65+F148)*6%</f>
        <v>1500.0006167286153</v>
      </c>
      <c r="L148" s="31">
        <f>(C148+$K$65+F148+I148)*14.25%</f>
        <v>3776.2515526142888</v>
      </c>
      <c r="M148" s="9"/>
      <c r="N148" s="9"/>
    </row>
    <row r="149" spans="2:14" x14ac:dyDescent="0.25">
      <c r="B149" s="5">
        <v>50</v>
      </c>
      <c r="C149" s="2">
        <f t="shared" ref="C149:C160" si="4">($K$42*(B149*21))*1.154</f>
        <v>5840.735775830306</v>
      </c>
      <c r="F149" s="2">
        <f t="shared" ref="F149:F160" si="5">(C149+$K$65)*0.05</f>
        <v>1248.8840377016486</v>
      </c>
      <c r="I149" s="2">
        <f t="shared" ref="I149:I160" si="6">(C149+$K$65+F149)*6%</f>
        <v>1573.593887504077</v>
      </c>
      <c r="L149" s="31">
        <f t="shared" ref="L149:L160" si="7">(C149+$K$65+F149+I149)*14.25%</f>
        <v>3961.5226117915136</v>
      </c>
      <c r="M149" s="9"/>
      <c r="N149" s="9"/>
    </row>
    <row r="150" spans="2:14" x14ac:dyDescent="0.25">
      <c r="B150" s="5">
        <v>60</v>
      </c>
      <c r="C150" s="2">
        <f t="shared" si="4"/>
        <v>7008.8829309963667</v>
      </c>
      <c r="F150" s="2">
        <f t="shared" si="5"/>
        <v>1307.2913954599517</v>
      </c>
      <c r="I150" s="2">
        <f t="shared" si="6"/>
        <v>1647.1871582795388</v>
      </c>
      <c r="L150" s="31">
        <f t="shared" si="7"/>
        <v>4146.7936709687392</v>
      </c>
      <c r="M150" s="9"/>
      <c r="N150" s="9"/>
    </row>
    <row r="151" spans="2:14" x14ac:dyDescent="0.25">
      <c r="B151" s="5">
        <v>70</v>
      </c>
      <c r="C151" s="2">
        <f t="shared" si="4"/>
        <v>8177.0300861624282</v>
      </c>
      <c r="F151" s="2">
        <f t="shared" si="5"/>
        <v>1365.6987532182548</v>
      </c>
      <c r="I151" s="2">
        <f t="shared" si="6"/>
        <v>1720.7804290550007</v>
      </c>
      <c r="L151" s="31">
        <f t="shared" si="7"/>
        <v>4332.0647301459639</v>
      </c>
      <c r="M151" s="9"/>
      <c r="N151" s="9"/>
    </row>
    <row r="152" spans="2:14" x14ac:dyDescent="0.25">
      <c r="B152" s="5">
        <v>80</v>
      </c>
      <c r="C152" s="2">
        <f t="shared" si="4"/>
        <v>9345.1772413284889</v>
      </c>
      <c r="F152" s="2">
        <f t="shared" si="5"/>
        <v>1424.1061109765578</v>
      </c>
      <c r="I152" s="2">
        <f t="shared" si="6"/>
        <v>1794.3736998304626</v>
      </c>
      <c r="L152" s="31">
        <f t="shared" si="7"/>
        <v>4517.3357893231896</v>
      </c>
      <c r="M152" s="9"/>
      <c r="N152" s="9"/>
    </row>
    <row r="153" spans="2:14" x14ac:dyDescent="0.25">
      <c r="B153" s="5">
        <v>90</v>
      </c>
      <c r="C153" s="2">
        <f t="shared" si="4"/>
        <v>10513.32439649455</v>
      </c>
      <c r="F153" s="2">
        <f t="shared" si="5"/>
        <v>1482.5134687348609</v>
      </c>
      <c r="I153" s="2">
        <f t="shared" si="6"/>
        <v>1867.9669706059244</v>
      </c>
      <c r="L153" s="31">
        <f t="shared" si="7"/>
        <v>4702.6068485004143</v>
      </c>
      <c r="M153" s="9"/>
      <c r="N153" s="9"/>
    </row>
    <row r="154" spans="2:14" x14ac:dyDescent="0.25">
      <c r="B154" s="5">
        <v>100</v>
      </c>
      <c r="C154" s="2">
        <f t="shared" si="4"/>
        <v>11681.471551660612</v>
      </c>
      <c r="F154" s="2">
        <f t="shared" si="5"/>
        <v>1540.920826493164</v>
      </c>
      <c r="I154" s="2">
        <f t="shared" si="6"/>
        <v>1941.5602413813863</v>
      </c>
      <c r="L154" s="31">
        <f t="shared" si="7"/>
        <v>4887.8779076776391</v>
      </c>
      <c r="M154" s="9"/>
      <c r="N154" s="9"/>
    </row>
    <row r="155" spans="2:14" x14ac:dyDescent="0.25">
      <c r="B155" s="5">
        <v>110</v>
      </c>
      <c r="C155" s="2">
        <f t="shared" si="4"/>
        <v>12849.618706826674</v>
      </c>
      <c r="F155" s="2">
        <f t="shared" si="5"/>
        <v>1599.3281842514671</v>
      </c>
      <c r="I155" s="2">
        <f t="shared" si="6"/>
        <v>2015.1535121568484</v>
      </c>
      <c r="L155" s="31">
        <f t="shared" si="7"/>
        <v>5073.1489668548647</v>
      </c>
      <c r="M155" s="9"/>
      <c r="N155" s="9"/>
    </row>
    <row r="156" spans="2:14" x14ac:dyDescent="0.25">
      <c r="B156" s="5">
        <v>120</v>
      </c>
      <c r="C156" s="2">
        <f t="shared" si="4"/>
        <v>14017.765861992733</v>
      </c>
      <c r="F156" s="2">
        <f t="shared" si="5"/>
        <v>1657.7355420097699</v>
      </c>
      <c r="I156" s="2">
        <f t="shared" si="6"/>
        <v>2088.7467829323095</v>
      </c>
      <c r="L156" s="31">
        <f t="shared" si="7"/>
        <v>5258.4200260320886</v>
      </c>
      <c r="M156" s="9"/>
      <c r="N156" s="9"/>
    </row>
    <row r="157" spans="2:14" x14ac:dyDescent="0.25">
      <c r="B157" s="5">
        <v>130</v>
      </c>
      <c r="C157" s="2">
        <f t="shared" si="4"/>
        <v>15185.913017158795</v>
      </c>
      <c r="F157" s="2">
        <f t="shared" si="5"/>
        <v>1716.1428997680732</v>
      </c>
      <c r="I157" s="2">
        <f t="shared" si="6"/>
        <v>2162.3400537077719</v>
      </c>
      <c r="L157" s="31">
        <f t="shared" si="7"/>
        <v>5443.6910852093151</v>
      </c>
      <c r="M157" s="9"/>
      <c r="N157" s="9"/>
    </row>
    <row r="158" spans="2:14" x14ac:dyDescent="0.25">
      <c r="B158" s="5">
        <v>140</v>
      </c>
      <c r="C158" s="2">
        <f t="shared" si="4"/>
        <v>16354.060172324856</v>
      </c>
      <c r="F158" s="2">
        <f t="shared" si="5"/>
        <v>1774.5502575263761</v>
      </c>
      <c r="I158" s="2">
        <f t="shared" si="6"/>
        <v>2235.9333244832337</v>
      </c>
      <c r="L158" s="31">
        <f t="shared" si="7"/>
        <v>5628.9621443865399</v>
      </c>
      <c r="M158" s="9"/>
      <c r="N158" s="9"/>
    </row>
    <row r="159" spans="2:14" x14ac:dyDescent="0.25">
      <c r="B159" s="5">
        <v>150</v>
      </c>
      <c r="C159" s="2">
        <f t="shared" si="4"/>
        <v>17522.207327490916</v>
      </c>
      <c r="F159" s="2">
        <f t="shared" si="5"/>
        <v>1832.9576152846794</v>
      </c>
      <c r="I159" s="2">
        <f t="shared" si="6"/>
        <v>2309.5265952586956</v>
      </c>
      <c r="L159" s="31">
        <f t="shared" si="7"/>
        <v>5814.2332035637655</v>
      </c>
      <c r="M159" s="9"/>
      <c r="N159" s="9"/>
    </row>
    <row r="160" spans="2:14" x14ac:dyDescent="0.25">
      <c r="B160" s="5">
        <v>160</v>
      </c>
      <c r="C160" s="2">
        <f t="shared" si="4"/>
        <v>18690.354482656978</v>
      </c>
      <c r="F160" s="2">
        <f t="shared" si="5"/>
        <v>1891.3649730429822</v>
      </c>
      <c r="I160" s="2">
        <f t="shared" si="6"/>
        <v>2383.1198660341574</v>
      </c>
      <c r="L160" s="31">
        <f t="shared" si="7"/>
        <v>5999.5042627409903</v>
      </c>
      <c r="M160" s="9"/>
      <c r="N160" s="9"/>
    </row>
  </sheetData>
  <mergeCells count="121">
    <mergeCell ref="A11:F11"/>
    <mergeCell ref="K11:N11"/>
    <mergeCell ref="A12:C12"/>
    <mergeCell ref="E12:F12"/>
    <mergeCell ref="K12:N12"/>
    <mergeCell ref="A13:D13"/>
    <mergeCell ref="E13:F13"/>
    <mergeCell ref="K13:N13"/>
    <mergeCell ref="C2:F6"/>
    <mergeCell ref="H3:P5"/>
    <mergeCell ref="F7:H7"/>
    <mergeCell ref="K7:N7"/>
    <mergeCell ref="B8:C8"/>
    <mergeCell ref="I9:P9"/>
    <mergeCell ref="A9:F9"/>
    <mergeCell ref="O16:O17"/>
    <mergeCell ref="P16:P17"/>
    <mergeCell ref="T17:V17"/>
    <mergeCell ref="A14:D14"/>
    <mergeCell ref="E14:F14"/>
    <mergeCell ref="K14:N15"/>
    <mergeCell ref="O14:O15"/>
    <mergeCell ref="P14:P15"/>
    <mergeCell ref="E15:F15"/>
    <mergeCell ref="K18:N18"/>
    <mergeCell ref="A19:F19"/>
    <mergeCell ref="A20:F20"/>
    <mergeCell ref="A23:F23"/>
    <mergeCell ref="A24:D24"/>
    <mergeCell ref="E24:F24"/>
    <mergeCell ref="A16:D16"/>
    <mergeCell ref="E16:F16"/>
    <mergeCell ref="K16:N17"/>
    <mergeCell ref="H21:N22"/>
    <mergeCell ref="A28:D28"/>
    <mergeCell ref="E28:F28"/>
    <mergeCell ref="A31:F31"/>
    <mergeCell ref="A32:D32"/>
    <mergeCell ref="E32:F32"/>
    <mergeCell ref="A33:D33"/>
    <mergeCell ref="A25:D25"/>
    <mergeCell ref="E25:F25"/>
    <mergeCell ref="A26:D26"/>
    <mergeCell ref="E26:F26"/>
    <mergeCell ref="A27:D27"/>
    <mergeCell ref="E27:F27"/>
    <mergeCell ref="B41:D41"/>
    <mergeCell ref="F41:H41"/>
    <mergeCell ref="A42:E42"/>
    <mergeCell ref="A43:J43"/>
    <mergeCell ref="A45:J45"/>
    <mergeCell ref="A47:J47"/>
    <mergeCell ref="A36:E36"/>
    <mergeCell ref="B37:D37"/>
    <mergeCell ref="E37:F37"/>
    <mergeCell ref="B38:D38"/>
    <mergeCell ref="B39:D39"/>
    <mergeCell ref="B40:D40"/>
    <mergeCell ref="C54:F54"/>
    <mergeCell ref="C55:F55"/>
    <mergeCell ref="C58:F58"/>
    <mergeCell ref="C60:G60"/>
    <mergeCell ref="C62:E62"/>
    <mergeCell ref="C63:F63"/>
    <mergeCell ref="A49:E49"/>
    <mergeCell ref="H50:I50"/>
    <mergeCell ref="C51:F51"/>
    <mergeCell ref="H51:I51"/>
    <mergeCell ref="C52:F52"/>
    <mergeCell ref="C53:F53"/>
    <mergeCell ref="A74:E74"/>
    <mergeCell ref="A75:F75"/>
    <mergeCell ref="I75:J75"/>
    <mergeCell ref="I76:J76"/>
    <mergeCell ref="I77:J77"/>
    <mergeCell ref="I78:J78"/>
    <mergeCell ref="A65:J65"/>
    <mergeCell ref="A67:I67"/>
    <mergeCell ref="A69:E69"/>
    <mergeCell ref="I69:J69"/>
    <mergeCell ref="C70:F70"/>
    <mergeCell ref="C71:F71"/>
    <mergeCell ref="D95:E95"/>
    <mergeCell ref="B97:C97"/>
    <mergeCell ref="F97:G97"/>
    <mergeCell ref="F98:G98"/>
    <mergeCell ref="B100:D100"/>
    <mergeCell ref="F100:G100"/>
    <mergeCell ref="A79:J79"/>
    <mergeCell ref="A82:I82"/>
    <mergeCell ref="A84:H84"/>
    <mergeCell ref="A85:J85"/>
    <mergeCell ref="A89:J89"/>
    <mergeCell ref="A90:J90"/>
    <mergeCell ref="L109:M109"/>
    <mergeCell ref="P109:Q109"/>
    <mergeCell ref="F110:G110"/>
    <mergeCell ref="P110:Q110"/>
    <mergeCell ref="B112:D112"/>
    <mergeCell ref="F112:G112"/>
    <mergeCell ref="L112:N112"/>
    <mergeCell ref="P112:Q112"/>
    <mergeCell ref="B101:D101"/>
    <mergeCell ref="B102:D102"/>
    <mergeCell ref="B103:C103"/>
    <mergeCell ref="B104:D104"/>
    <mergeCell ref="F104:G104"/>
    <mergeCell ref="B109:C109"/>
    <mergeCell ref="F109:G109"/>
    <mergeCell ref="B116:D116"/>
    <mergeCell ref="F116:G116"/>
    <mergeCell ref="L116:N116"/>
    <mergeCell ref="P116:Q116"/>
    <mergeCell ref="B122:C125"/>
    <mergeCell ref="B143:C146"/>
    <mergeCell ref="B113:D113"/>
    <mergeCell ref="L113:N113"/>
    <mergeCell ref="B114:D114"/>
    <mergeCell ref="L114:N114"/>
    <mergeCell ref="B115:C115"/>
    <mergeCell ref="L115:M115"/>
  </mergeCells>
  <conditionalFormatting sqref="P19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{0A8B7B55-C619-4D2C-9FC8-D31D0622F91F}</x14:id>
        </ext>
      </extLst>
    </cfRule>
  </conditionalFormatting>
  <dataValidations disablePrompts="1" count="3">
    <dataValidation type="list" allowBlank="1" showInputMessage="1" showErrorMessage="1" sqref="F7:H7 T17:V17">
      <formula1>$Q$119:$Q$122</formula1>
    </dataValidation>
    <dataValidation type="list" allowBlank="1" showInputMessage="1" showErrorMessage="1" sqref="L51">
      <formula1>"LINEAR, MÉTODO COLE"</formula1>
    </dataValidation>
    <dataValidation type="list" allowBlank="1" showInputMessage="1" showErrorMessage="1" sqref="E15:F15">
      <formula1>"0,1,2,3,4,5,6,7,8,9,10,11,12,13,14,15"</formula1>
    </dataValidation>
  </dataValidations>
  <pageMargins left="0.51181102362204722" right="0.51181102362204722" top="0.78740157480314965" bottom="0.78740157480314965" header="0.31496062992125984" footer="0.31496062992125984"/>
  <pageSetup paperSize="9" scale="50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A8B7B55-C619-4D2C-9FC8-D31D0622F91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P19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2:V160"/>
  <sheetViews>
    <sheetView tabSelected="1" view="pageBreakPreview" topLeftCell="A55" zoomScale="85" zoomScaleNormal="100" zoomScaleSheetLayoutView="85" workbookViewId="0">
      <selection activeCell="A57" sqref="A57"/>
    </sheetView>
  </sheetViews>
  <sheetFormatPr defaultColWidth="8.85546875" defaultRowHeight="15" x14ac:dyDescent="0.25"/>
  <cols>
    <col min="2" max="2" width="14.140625" customWidth="1"/>
    <col min="3" max="3" width="15.28515625" customWidth="1"/>
    <col min="5" max="5" width="12.42578125" customWidth="1"/>
    <col min="6" max="6" width="13.5703125" customWidth="1"/>
    <col min="7" max="7" width="12.140625" customWidth="1"/>
    <col min="9" max="9" width="10.7109375" customWidth="1"/>
    <col min="10" max="10" width="12.140625" bestFit="1" customWidth="1"/>
    <col min="11" max="11" width="16.42578125" bestFit="1" customWidth="1"/>
    <col min="12" max="12" width="14.42578125" customWidth="1"/>
    <col min="14" max="14" width="6.42578125" customWidth="1"/>
    <col min="15" max="15" width="9" customWidth="1"/>
    <col min="16" max="16" width="10.42578125" customWidth="1"/>
    <col min="17" max="17" width="15.140625" customWidth="1"/>
    <col min="18" max="18" width="14.7109375" bestFit="1" customWidth="1"/>
    <col min="19" max="19" width="19.42578125" bestFit="1" customWidth="1"/>
  </cols>
  <sheetData>
    <row r="2" spans="1:19" x14ac:dyDescent="0.25">
      <c r="C2" s="239" t="s">
        <v>151</v>
      </c>
      <c r="D2" s="240"/>
      <c r="E2" s="240"/>
      <c r="F2" s="240"/>
    </row>
    <row r="3" spans="1:19" x14ac:dyDescent="0.25">
      <c r="C3" s="240"/>
      <c r="D3" s="240"/>
      <c r="E3" s="240"/>
      <c r="F3" s="240"/>
      <c r="H3" s="241" t="s">
        <v>64</v>
      </c>
      <c r="I3" s="239"/>
      <c r="J3" s="239"/>
      <c r="K3" s="239"/>
      <c r="L3" s="239"/>
      <c r="M3" s="239"/>
      <c r="N3" s="239"/>
      <c r="O3" s="239"/>
      <c r="P3" s="239"/>
    </row>
    <row r="4" spans="1:19" x14ac:dyDescent="0.25">
      <c r="C4" s="240"/>
      <c r="D4" s="240"/>
      <c r="E4" s="240"/>
      <c r="F4" s="240"/>
      <c r="H4" s="239"/>
      <c r="I4" s="239"/>
      <c r="J4" s="239"/>
      <c r="K4" s="239"/>
      <c r="L4" s="239"/>
      <c r="M4" s="239"/>
      <c r="N4" s="239"/>
      <c r="O4" s="239"/>
      <c r="P4" s="239"/>
    </row>
    <row r="5" spans="1:19" x14ac:dyDescent="0.25">
      <c r="C5" s="240"/>
      <c r="D5" s="240"/>
      <c r="E5" s="240"/>
      <c r="F5" s="240"/>
      <c r="H5" s="239"/>
      <c r="I5" s="239"/>
      <c r="J5" s="239"/>
      <c r="K5" s="239"/>
      <c r="L5" s="239"/>
      <c r="M5" s="239"/>
      <c r="N5" s="239"/>
      <c r="O5" s="239"/>
      <c r="P5" s="239"/>
    </row>
    <row r="6" spans="1:19" x14ac:dyDescent="0.25">
      <c r="C6" s="240"/>
      <c r="D6" s="240"/>
      <c r="E6" s="240"/>
      <c r="F6" s="240"/>
    </row>
    <row r="7" spans="1:19" ht="21" x14ac:dyDescent="0.35">
      <c r="E7" s="18" t="s">
        <v>80</v>
      </c>
      <c r="F7" s="235" t="s">
        <v>65</v>
      </c>
      <c r="G7" s="235"/>
      <c r="H7" s="235"/>
      <c r="K7" s="242" t="s">
        <v>286</v>
      </c>
      <c r="L7" s="243"/>
      <c r="M7" s="243"/>
      <c r="N7" s="243"/>
    </row>
    <row r="8" spans="1:19" ht="15.75" x14ac:dyDescent="0.25">
      <c r="B8" s="194"/>
      <c r="C8" s="194"/>
      <c r="D8" s="142"/>
      <c r="E8" s="142"/>
      <c r="F8" s="142"/>
      <c r="J8" s="9"/>
    </row>
    <row r="9" spans="1:19" ht="21" x14ac:dyDescent="0.35">
      <c r="A9" s="235" t="s">
        <v>352</v>
      </c>
      <c r="B9" s="235"/>
      <c r="C9" s="235"/>
      <c r="D9" s="235"/>
      <c r="E9" s="235"/>
      <c r="F9" s="235"/>
      <c r="I9" s="244" t="s">
        <v>157</v>
      </c>
      <c r="J9" s="244"/>
      <c r="K9" s="244"/>
      <c r="L9" s="244"/>
      <c r="M9" s="244"/>
      <c r="N9" s="244"/>
      <c r="O9" s="244"/>
      <c r="P9" s="244"/>
      <c r="R9" s="9" t="s">
        <v>155</v>
      </c>
      <c r="S9" s="9" t="s">
        <v>156</v>
      </c>
    </row>
    <row r="10" spans="1:19" x14ac:dyDescent="0.25">
      <c r="R10" s="2">
        <f>K43</f>
        <v>3652.2313135521222</v>
      </c>
      <c r="S10" s="43">
        <f>K45</f>
        <v>6526.8855744938792</v>
      </c>
    </row>
    <row r="11" spans="1:19" ht="17.25" x14ac:dyDescent="0.3">
      <c r="A11" s="236" t="s">
        <v>150</v>
      </c>
      <c r="B11" s="237"/>
      <c r="C11" s="237"/>
      <c r="D11" s="237"/>
      <c r="E11" s="237"/>
      <c r="F11" s="238"/>
      <c r="G11" s="40" t="s">
        <v>0</v>
      </c>
      <c r="K11" s="206" t="s">
        <v>15</v>
      </c>
      <c r="L11" s="206"/>
      <c r="M11" s="206"/>
      <c r="N11" s="206"/>
      <c r="O11" s="161">
        <f>O12+O13</f>
        <v>92.08</v>
      </c>
      <c r="P11" s="47" t="s">
        <v>14</v>
      </c>
      <c r="R11" s="130">
        <f>K65/O18*O14</f>
        <v>7498.490169565076</v>
      </c>
      <c r="S11" s="130">
        <f>K65/O18*O16</f>
        <v>11638.454808637591</v>
      </c>
    </row>
    <row r="12" spans="1:19" ht="15.75" x14ac:dyDescent="0.25">
      <c r="A12" s="214" t="s">
        <v>107</v>
      </c>
      <c r="B12" s="215"/>
      <c r="C12" s="215"/>
      <c r="D12" s="48"/>
      <c r="E12" s="218">
        <f>Insumos!$B$4</f>
        <v>531068.38</v>
      </c>
      <c r="F12" s="218"/>
      <c r="G12" s="1"/>
      <c r="K12" s="206" t="s">
        <v>136</v>
      </c>
      <c r="L12" s="206"/>
      <c r="M12" s="206"/>
      <c r="N12" s="206"/>
      <c r="O12" s="150">
        <v>36.08</v>
      </c>
      <c r="P12" s="47" t="s">
        <v>14</v>
      </c>
      <c r="R12" s="2">
        <f>K72/O18*O14</f>
        <v>777.25677372993096</v>
      </c>
      <c r="S12" s="2">
        <f>K72/O18*O16</f>
        <v>1206.3852363879196</v>
      </c>
    </row>
    <row r="13" spans="1:19" ht="15.75" x14ac:dyDescent="0.25">
      <c r="A13" s="214" t="s">
        <v>285</v>
      </c>
      <c r="B13" s="215"/>
      <c r="C13" s="215"/>
      <c r="D13" s="216"/>
      <c r="E13" s="198">
        <f>'DEPRECIAÇÃO LINEAR'!D15</f>
        <v>10</v>
      </c>
      <c r="F13" s="198"/>
      <c r="K13" s="206" t="s">
        <v>137</v>
      </c>
      <c r="L13" s="206"/>
      <c r="M13" s="206"/>
      <c r="N13" s="206"/>
      <c r="O13" s="150">
        <v>56</v>
      </c>
      <c r="P13" s="47" t="s">
        <v>14</v>
      </c>
      <c r="R13" s="2">
        <f>K79/O18*O14</f>
        <v>1161.3122382078195</v>
      </c>
      <c r="S13" s="2">
        <f>K79/O18*O16</f>
        <v>1802.4801923402963</v>
      </c>
    </row>
    <row r="14" spans="1:19" ht="15" customHeight="1" x14ac:dyDescent="0.25">
      <c r="A14" s="214" t="s">
        <v>23</v>
      </c>
      <c r="B14" s="215"/>
      <c r="C14" s="215"/>
      <c r="D14" s="216"/>
      <c r="E14" s="219">
        <v>2026</v>
      </c>
      <c r="F14" s="220"/>
      <c r="K14" s="223" t="s">
        <v>138</v>
      </c>
      <c r="L14" s="223"/>
      <c r="M14" s="223"/>
      <c r="N14" s="223"/>
      <c r="O14" s="232">
        <f>O12*21</f>
        <v>757.68</v>
      </c>
      <c r="P14" s="234" t="s">
        <v>14</v>
      </c>
      <c r="R14" s="2">
        <f>SUM(R10:R13)</f>
        <v>13089.290495054949</v>
      </c>
      <c r="S14" s="2">
        <f>SUM(S10:S13)</f>
        <v>21174.205811859687</v>
      </c>
    </row>
    <row r="15" spans="1:19" ht="15.75" customHeight="1" x14ac:dyDescent="0.25">
      <c r="A15" s="49" t="s">
        <v>79</v>
      </c>
      <c r="B15" s="48"/>
      <c r="C15" s="48"/>
      <c r="D15" s="48"/>
      <c r="E15" s="198">
        <v>0</v>
      </c>
      <c r="F15" s="198"/>
      <c r="G15" s="41" t="s">
        <v>128</v>
      </c>
      <c r="I15" s="28"/>
      <c r="J15" s="28"/>
      <c r="K15" s="223"/>
      <c r="L15" s="223"/>
      <c r="M15" s="223"/>
      <c r="N15" s="223"/>
      <c r="O15" s="233"/>
      <c r="P15" s="234"/>
      <c r="R15" s="31">
        <f>IFERROR(R14/O14,0)</f>
        <v>17.275486346551247</v>
      </c>
      <c r="S15" s="31">
        <f>IFERROR(S14/O16,0)</f>
        <v>18.005277050901093</v>
      </c>
    </row>
    <row r="16" spans="1:19" ht="15" customHeight="1" x14ac:dyDescent="0.25">
      <c r="A16" s="214" t="s">
        <v>84</v>
      </c>
      <c r="B16" s="215"/>
      <c r="C16" s="215"/>
      <c r="D16" s="215"/>
      <c r="E16" s="198" t="str">
        <f>IF($F$7=$D$95,F104,IF($F$7=$D$107,F116,IF($F$7=$N$95,Q104,IF($F$7=$O$107,P116,""))))</f>
        <v>ATÉ 59 ALUNOS</v>
      </c>
      <c r="F16" s="198"/>
      <c r="I16" s="28"/>
      <c r="J16" s="28"/>
      <c r="K16" s="223" t="s">
        <v>139</v>
      </c>
      <c r="L16" s="223"/>
      <c r="M16" s="223"/>
      <c r="N16" s="223"/>
      <c r="O16" s="232">
        <f>O13*21</f>
        <v>1176</v>
      </c>
      <c r="P16" s="234" t="s">
        <v>14</v>
      </c>
    </row>
    <row r="17" spans="1:22" ht="15" customHeight="1" x14ac:dyDescent="0.35">
      <c r="I17" s="28"/>
      <c r="J17" s="28"/>
      <c r="K17" s="223"/>
      <c r="L17" s="223"/>
      <c r="M17" s="223"/>
      <c r="N17" s="223"/>
      <c r="O17" s="233"/>
      <c r="P17" s="234"/>
      <c r="R17" s="2">
        <f>R14+S14</f>
        <v>34263.496306914632</v>
      </c>
      <c r="T17" s="235"/>
      <c r="U17" s="235"/>
      <c r="V17" s="235"/>
    </row>
    <row r="18" spans="1:22" ht="15" customHeight="1" x14ac:dyDescent="0.25">
      <c r="I18" s="28"/>
      <c r="J18" s="28"/>
      <c r="K18" s="223" t="s">
        <v>140</v>
      </c>
      <c r="L18" s="223"/>
      <c r="M18" s="223"/>
      <c r="N18" s="223"/>
      <c r="O18" s="46">
        <f>O16+O14</f>
        <v>1933.6799999999998</v>
      </c>
      <c r="P18" s="47" t="s">
        <v>14</v>
      </c>
      <c r="R18" s="2">
        <f>R17/O18</f>
        <v>17.719320832254891</v>
      </c>
    </row>
    <row r="19" spans="1:22" ht="15.75" customHeight="1" x14ac:dyDescent="0.3">
      <c r="A19" s="224" t="s">
        <v>1</v>
      </c>
      <c r="B19" s="225"/>
      <c r="C19" s="225"/>
      <c r="D19" s="225"/>
      <c r="E19" s="225"/>
      <c r="F19" s="225"/>
      <c r="I19" s="29"/>
      <c r="J19" s="29"/>
      <c r="K19" s="29"/>
      <c r="L19" s="29"/>
      <c r="M19" s="29"/>
    </row>
    <row r="20" spans="1:22" ht="15" customHeight="1" thickBot="1" x14ac:dyDescent="0.3">
      <c r="A20" s="206" t="s">
        <v>106</v>
      </c>
      <c r="B20" s="206"/>
      <c r="C20" s="206"/>
      <c r="D20" s="206"/>
      <c r="E20" s="206"/>
      <c r="F20" s="206"/>
      <c r="I20" s="28"/>
      <c r="J20" s="28"/>
      <c r="K20" s="28"/>
      <c r="L20" s="28"/>
      <c r="M20" s="28"/>
      <c r="O20" s="93">
        <f>K90</f>
        <v>17.719320832254891</v>
      </c>
      <c r="R20" s="93">
        <f>K90</f>
        <v>17.719320832254891</v>
      </c>
    </row>
    <row r="21" spans="1:22" ht="16.5" customHeight="1" x14ac:dyDescent="0.25">
      <c r="H21" s="226" t="s">
        <v>314</v>
      </c>
      <c r="I21" s="227"/>
      <c r="J21" s="227"/>
      <c r="K21" s="227"/>
      <c r="L21" s="227"/>
      <c r="M21" s="227"/>
      <c r="N21" s="228"/>
      <c r="O21" s="2"/>
    </row>
    <row r="22" spans="1:22" ht="15.75" thickBot="1" x14ac:dyDescent="0.3">
      <c r="H22" s="229"/>
      <c r="I22" s="230"/>
      <c r="J22" s="230"/>
      <c r="K22" s="230"/>
      <c r="L22" s="230"/>
      <c r="M22" s="230"/>
      <c r="N22" s="231"/>
    </row>
    <row r="23" spans="1:22" ht="17.25" x14ac:dyDescent="0.3">
      <c r="A23" s="224" t="s">
        <v>2</v>
      </c>
      <c r="B23" s="225"/>
      <c r="C23" s="225"/>
      <c r="D23" s="225"/>
      <c r="E23" s="225"/>
      <c r="F23" s="225"/>
      <c r="L23" s="2"/>
    </row>
    <row r="24" spans="1:22" ht="15.75" x14ac:dyDescent="0.25">
      <c r="A24" s="214" t="s">
        <v>11</v>
      </c>
      <c r="B24" s="215"/>
      <c r="C24" s="215"/>
      <c r="D24" s="215"/>
      <c r="E24" s="198">
        <f>IF($F$7=$D$95,F100,IF($F$7=$D$107,F112,IF($F$7=$N$95,Q100,IF($F$7=$O$107,P112,""))))</f>
        <v>6</v>
      </c>
      <c r="F24" s="198"/>
    </row>
    <row r="25" spans="1:22" ht="15.75" x14ac:dyDescent="0.25">
      <c r="A25" s="214" t="s">
        <v>9</v>
      </c>
      <c r="B25" s="215"/>
      <c r="C25" s="215"/>
      <c r="D25" s="216"/>
      <c r="E25" s="218">
        <f>Insumos!$B$5</f>
        <v>2453.2399999999998</v>
      </c>
      <c r="F25" s="218"/>
    </row>
    <row r="26" spans="1:22" ht="15.75" x14ac:dyDescent="0.25">
      <c r="A26" s="214" t="s">
        <v>147</v>
      </c>
      <c r="B26" s="215"/>
      <c r="C26" s="215"/>
      <c r="D26" s="216"/>
      <c r="E26" s="219">
        <v>2</v>
      </c>
      <c r="F26" s="220"/>
    </row>
    <row r="27" spans="1:22" ht="15.75" x14ac:dyDescent="0.25">
      <c r="A27" s="214" t="s">
        <v>148</v>
      </c>
      <c r="B27" s="215"/>
      <c r="C27" s="215"/>
      <c r="D27" s="216"/>
      <c r="E27" s="221">
        <f>Insumos!$B$6</f>
        <v>975.83</v>
      </c>
      <c r="F27" s="222"/>
    </row>
    <row r="28" spans="1:22" ht="15.75" x14ac:dyDescent="0.25">
      <c r="A28" s="214" t="s">
        <v>149</v>
      </c>
      <c r="B28" s="215"/>
      <c r="C28" s="215"/>
      <c r="D28" s="216"/>
      <c r="E28" s="217">
        <v>100000</v>
      </c>
      <c r="F28" s="217"/>
    </row>
    <row r="31" spans="1:22" ht="15.75" x14ac:dyDescent="0.25">
      <c r="A31" s="191" t="s">
        <v>3</v>
      </c>
      <c r="B31" s="192"/>
      <c r="C31" s="192"/>
      <c r="D31" s="192"/>
      <c r="E31" s="192"/>
      <c r="F31" s="192"/>
    </row>
    <row r="32" spans="1:22" ht="15.75" x14ac:dyDescent="0.25">
      <c r="A32" s="214" t="s">
        <v>19</v>
      </c>
      <c r="B32" s="215"/>
      <c r="C32" s="215"/>
      <c r="D32" s="216"/>
      <c r="E32" s="218">
        <f>Insumos!$B$7</f>
        <v>7.6</v>
      </c>
      <c r="F32" s="218"/>
    </row>
    <row r="33" spans="1:14" ht="15.75" x14ac:dyDescent="0.25">
      <c r="A33" s="214" t="s">
        <v>17</v>
      </c>
      <c r="B33" s="215"/>
      <c r="C33" s="215"/>
      <c r="D33" s="216"/>
      <c r="E33" s="46">
        <f>IF($F$7=$D$95,G103,IF($F$7=$D$107,G115,IF($F$7=$N$95,Q103,IF($F$7=$O$107,Q115,""))))</f>
        <v>2.6</v>
      </c>
      <c r="F33" s="50" t="s">
        <v>18</v>
      </c>
    </row>
    <row r="36" spans="1:14" ht="17.25" x14ac:dyDescent="0.3">
      <c r="A36" s="208" t="s">
        <v>20</v>
      </c>
      <c r="B36" s="209"/>
      <c r="C36" s="209"/>
      <c r="D36" s="209"/>
      <c r="E36" s="209"/>
    </row>
    <row r="37" spans="1:14" x14ac:dyDescent="0.25">
      <c r="B37" s="210"/>
      <c r="C37" s="210"/>
      <c r="D37" s="211"/>
      <c r="E37" s="212" t="s">
        <v>4</v>
      </c>
      <c r="F37" s="213"/>
    </row>
    <row r="38" spans="1:14" ht="15.75" x14ac:dyDescent="0.25">
      <c r="A38" s="46" t="s">
        <v>346</v>
      </c>
      <c r="B38" s="214" t="s">
        <v>52</v>
      </c>
      <c r="C38" s="215"/>
      <c r="D38" s="216"/>
      <c r="E38" s="46">
        <f>1/E33</f>
        <v>0.38461538461538458</v>
      </c>
      <c r="F38" s="7" t="s">
        <v>5</v>
      </c>
      <c r="G38" s="7"/>
      <c r="H38" s="7"/>
      <c r="I38" s="7"/>
      <c r="J38" s="7"/>
      <c r="K38" s="58">
        <f>E32*E38</f>
        <v>2.9230769230769225</v>
      </c>
      <c r="L38" s="51" t="s">
        <v>13</v>
      </c>
      <c r="N38" s="2"/>
    </row>
    <row r="39" spans="1:14" ht="15.75" x14ac:dyDescent="0.25">
      <c r="A39" s="46" t="s">
        <v>6</v>
      </c>
      <c r="B39" s="206" t="s">
        <v>152</v>
      </c>
      <c r="C39" s="206"/>
      <c r="D39" s="206"/>
      <c r="E39" s="46">
        <v>0.04</v>
      </c>
      <c r="F39" s="7" t="s">
        <v>5</v>
      </c>
      <c r="G39" s="7"/>
      <c r="H39" s="7"/>
      <c r="I39" s="7"/>
      <c r="J39" s="7"/>
      <c r="K39" s="58">
        <f>E39*E32</f>
        <v>0.30399999999999999</v>
      </c>
      <c r="L39" s="51" t="s">
        <v>13</v>
      </c>
    </row>
    <row r="40" spans="1:14" ht="15.75" x14ac:dyDescent="0.25">
      <c r="A40" s="46" t="s">
        <v>7</v>
      </c>
      <c r="B40" s="206" t="s">
        <v>8</v>
      </c>
      <c r="C40" s="206"/>
      <c r="D40" s="206"/>
      <c r="E40" s="46"/>
      <c r="F40" s="7"/>
      <c r="G40" s="7"/>
      <c r="H40" s="7"/>
      <c r="I40" s="7"/>
      <c r="J40" s="7"/>
      <c r="K40" s="58">
        <f>((E25*E24)+(E26*E24*E27))/E28</f>
        <v>0.26429400000000003</v>
      </c>
      <c r="L40" s="51" t="s">
        <v>13</v>
      </c>
    </row>
    <row r="41" spans="1:14" ht="15.75" x14ac:dyDescent="0.25">
      <c r="A41" s="46" t="s">
        <v>12</v>
      </c>
      <c r="B41" s="206" t="s">
        <v>153</v>
      </c>
      <c r="C41" s="206"/>
      <c r="D41" s="206"/>
      <c r="E41" s="70">
        <v>3.0000000000000001E-6</v>
      </c>
      <c r="F41" s="193" t="s">
        <v>10</v>
      </c>
      <c r="G41" s="193"/>
      <c r="H41" s="193"/>
      <c r="I41" s="7"/>
      <c r="J41" s="7"/>
      <c r="K41" s="58">
        <f>(E41*E12)-(K40)</f>
        <v>1.32891114</v>
      </c>
      <c r="L41" s="51" t="s">
        <v>13</v>
      </c>
    </row>
    <row r="42" spans="1:14" ht="15.75" x14ac:dyDescent="0.25">
      <c r="A42" s="207"/>
      <c r="B42" s="207"/>
      <c r="C42" s="207"/>
      <c r="D42" s="207"/>
      <c r="E42" s="207"/>
      <c r="F42" s="7"/>
      <c r="G42" s="7"/>
      <c r="H42" s="7"/>
      <c r="I42" s="7"/>
      <c r="J42" s="7"/>
      <c r="K42" s="58">
        <f>SUM(K38:K41)</f>
        <v>4.8202820630769221</v>
      </c>
      <c r="L42" s="51" t="s">
        <v>13</v>
      </c>
    </row>
    <row r="43" spans="1:14" ht="21" customHeight="1" x14ac:dyDescent="0.25">
      <c r="A43" s="200" t="s">
        <v>144</v>
      </c>
      <c r="B43" s="200"/>
      <c r="C43" s="200"/>
      <c r="D43" s="200"/>
      <c r="E43" s="200"/>
      <c r="F43" s="200"/>
      <c r="G43" s="200"/>
      <c r="H43" s="200"/>
      <c r="I43" s="200"/>
      <c r="J43" s="200"/>
      <c r="K43" s="68">
        <f>K42*O14</f>
        <v>3652.2313135521222</v>
      </c>
      <c r="L43" s="52" t="s">
        <v>16</v>
      </c>
    </row>
    <row r="45" spans="1:14" ht="18.75" x14ac:dyDescent="0.3">
      <c r="A45" s="190" t="s">
        <v>145</v>
      </c>
      <c r="B45" s="190"/>
      <c r="C45" s="190"/>
      <c r="D45" s="190"/>
      <c r="E45" s="190"/>
      <c r="F45" s="190"/>
      <c r="G45" s="190"/>
      <c r="H45" s="190"/>
      <c r="I45" s="190"/>
      <c r="J45" s="190"/>
      <c r="K45" s="65">
        <f>K42*O16*1.1514</f>
        <v>6526.8855744938792</v>
      </c>
      <c r="L45" s="53" t="s">
        <v>16</v>
      </c>
    </row>
    <row r="46" spans="1:14" ht="15.75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</row>
    <row r="47" spans="1:14" ht="18.75" x14ac:dyDescent="0.3">
      <c r="A47" s="190" t="s">
        <v>146</v>
      </c>
      <c r="B47" s="190"/>
      <c r="C47" s="190"/>
      <c r="D47" s="190"/>
      <c r="E47" s="190"/>
      <c r="F47" s="190"/>
      <c r="G47" s="190"/>
      <c r="H47" s="190"/>
      <c r="I47" s="190"/>
      <c r="J47" s="190"/>
      <c r="K47" s="65">
        <f>K43+K45</f>
        <v>10179.116888046001</v>
      </c>
      <c r="L47" s="54" t="s">
        <v>16</v>
      </c>
    </row>
    <row r="49" spans="1:12" ht="15.75" x14ac:dyDescent="0.25">
      <c r="A49" s="197" t="s">
        <v>21</v>
      </c>
      <c r="B49" s="204"/>
      <c r="C49" s="204"/>
      <c r="D49" s="204"/>
      <c r="E49" s="204"/>
      <c r="F49" s="7"/>
      <c r="G49" s="7"/>
      <c r="H49" s="7"/>
      <c r="I49" s="7"/>
      <c r="J49" s="7"/>
      <c r="K49" s="7"/>
      <c r="L49" s="7"/>
    </row>
    <row r="50" spans="1:12" ht="15.75" x14ac:dyDescent="0.25">
      <c r="A50" s="3"/>
      <c r="B50" s="139"/>
      <c r="C50" s="139"/>
      <c r="D50" s="139"/>
      <c r="E50" s="139"/>
      <c r="F50" s="7"/>
      <c r="G50" s="7"/>
      <c r="H50" s="205" t="s">
        <v>25</v>
      </c>
      <c r="I50" s="205"/>
      <c r="J50" s="7"/>
      <c r="K50" s="7"/>
      <c r="L50" s="7"/>
    </row>
    <row r="51" spans="1:12" ht="15.75" x14ac:dyDescent="0.25">
      <c r="A51" s="7" t="s">
        <v>22</v>
      </c>
      <c r="B51" s="7"/>
      <c r="C51" s="193" t="s">
        <v>24</v>
      </c>
      <c r="D51" s="193"/>
      <c r="E51" s="193"/>
      <c r="F51" s="193"/>
      <c r="G51" s="7"/>
      <c r="H51" s="195"/>
      <c r="I51" s="195"/>
      <c r="J51" s="58"/>
      <c r="K51" s="129">
        <f>IF(L51="LINEAR",'DEPRECIAÇÃO LINEAR'!H23,(VLOOKUP(E15,'DEPRECIAÇÃO LINEAR'!W12:AM25,17,0)))</f>
        <v>3983.0128500000005</v>
      </c>
      <c r="L51" s="55" t="s">
        <v>130</v>
      </c>
    </row>
    <row r="52" spans="1:12" ht="15.75" x14ac:dyDescent="0.25">
      <c r="A52" s="7" t="s">
        <v>26</v>
      </c>
      <c r="B52" s="7"/>
      <c r="C52" s="193" t="s">
        <v>27</v>
      </c>
      <c r="D52" s="193"/>
      <c r="E52" s="193"/>
      <c r="F52" s="193"/>
      <c r="G52" s="7"/>
      <c r="H52" s="7"/>
      <c r="I52" s="7"/>
      <c r="J52" s="58"/>
      <c r="K52" s="58"/>
      <c r="L52" s="7"/>
    </row>
    <row r="53" spans="1:12" ht="15.75" x14ac:dyDescent="0.25">
      <c r="A53" s="7"/>
      <c r="B53" s="7" t="s">
        <v>31</v>
      </c>
      <c r="C53" s="193" t="s">
        <v>28</v>
      </c>
      <c r="D53" s="193"/>
      <c r="E53" s="193"/>
      <c r="F53" s="193"/>
      <c r="G53" s="7"/>
      <c r="H53" s="7"/>
      <c r="I53" s="7"/>
      <c r="J53" s="58"/>
      <c r="K53" s="58">
        <f>'Motorista de Veiculo Pesado'!E90</f>
        <v>8468.4608078400015</v>
      </c>
      <c r="L53" s="7"/>
    </row>
    <row r="54" spans="1:12" ht="15.75" x14ac:dyDescent="0.25">
      <c r="A54" s="7"/>
      <c r="B54" s="7" t="s">
        <v>32</v>
      </c>
      <c r="C54" s="193" t="s">
        <v>29</v>
      </c>
      <c r="D54" s="193"/>
      <c r="E54" s="193"/>
      <c r="F54" s="193"/>
      <c r="G54" s="7"/>
      <c r="H54" s="7"/>
      <c r="I54" s="7"/>
      <c r="J54" s="58"/>
      <c r="K54" s="58">
        <f>'Monitor de Transporte Escolar'!E90</f>
        <v>4485.726463695999</v>
      </c>
      <c r="L54" s="7"/>
    </row>
    <row r="55" spans="1:12" ht="15.75" x14ac:dyDescent="0.25">
      <c r="A55" s="7" t="s">
        <v>30</v>
      </c>
      <c r="B55" s="7"/>
      <c r="C55" s="193" t="s">
        <v>34</v>
      </c>
      <c r="D55" s="193"/>
      <c r="E55" s="193"/>
      <c r="F55" s="193"/>
      <c r="G55" s="7"/>
      <c r="H55" s="7"/>
      <c r="I55" s="7"/>
      <c r="J55" s="58"/>
      <c r="K55" s="58"/>
      <c r="L55" s="141"/>
    </row>
    <row r="56" spans="1:12" ht="15.75" x14ac:dyDescent="0.25">
      <c r="A56" s="7"/>
      <c r="B56" s="7" t="s">
        <v>33</v>
      </c>
      <c r="C56" s="7" t="s">
        <v>35</v>
      </c>
      <c r="D56" s="7"/>
      <c r="E56" s="7"/>
      <c r="F56" s="7"/>
      <c r="G56" s="7"/>
      <c r="H56" s="7"/>
      <c r="I56" s="7"/>
      <c r="J56" s="58">
        <f>1/100*E12</f>
        <v>5310.6837999999998</v>
      </c>
      <c r="K56" s="58">
        <f>J56/12</f>
        <v>442.55698333333333</v>
      </c>
      <c r="L56" s="7"/>
    </row>
    <row r="57" spans="1:12" ht="15.75" x14ac:dyDescent="0.25">
      <c r="A57" s="7"/>
      <c r="B57" s="7" t="s">
        <v>36</v>
      </c>
      <c r="C57" s="7" t="s">
        <v>37</v>
      </c>
      <c r="D57" s="7"/>
      <c r="E57" s="7"/>
      <c r="F57" s="7"/>
      <c r="G57" s="7"/>
      <c r="H57" s="7"/>
      <c r="I57" s="7"/>
      <c r="J57" s="58">
        <v>230.25</v>
      </c>
      <c r="K57" s="58">
        <f>J57/12</f>
        <v>19.1875</v>
      </c>
      <c r="L57" s="7"/>
    </row>
    <row r="58" spans="1:12" ht="15.75" x14ac:dyDescent="0.25">
      <c r="A58" s="7"/>
      <c r="B58" s="7" t="s">
        <v>38</v>
      </c>
      <c r="C58" s="193" t="s">
        <v>39</v>
      </c>
      <c r="D58" s="193"/>
      <c r="E58" s="193"/>
      <c r="F58" s="193"/>
      <c r="G58" s="7"/>
      <c r="H58" s="7"/>
      <c r="I58" s="7"/>
      <c r="J58" s="58">
        <v>161.80000000000001</v>
      </c>
      <c r="K58" s="58">
        <f>J58/12</f>
        <v>13.483333333333334</v>
      </c>
      <c r="L58" s="7"/>
    </row>
    <row r="59" spans="1:12" ht="15.75" x14ac:dyDescent="0.25">
      <c r="A59" s="7" t="s">
        <v>41</v>
      </c>
      <c r="B59" s="7"/>
      <c r="C59" s="7" t="s">
        <v>40</v>
      </c>
      <c r="D59" s="7"/>
      <c r="E59" s="7"/>
      <c r="F59" s="7"/>
      <c r="G59" s="7"/>
      <c r="H59" s="7"/>
      <c r="I59" s="7"/>
      <c r="J59" s="58">
        <v>0</v>
      </c>
      <c r="K59" s="58">
        <f>J59/12</f>
        <v>0</v>
      </c>
      <c r="L59" s="7"/>
    </row>
    <row r="60" spans="1:12" ht="15.75" x14ac:dyDescent="0.25">
      <c r="A60" s="7" t="s">
        <v>57</v>
      </c>
      <c r="B60" s="7"/>
      <c r="C60" s="193" t="s">
        <v>58</v>
      </c>
      <c r="D60" s="193"/>
      <c r="E60" s="193"/>
      <c r="F60" s="193"/>
      <c r="G60" s="193"/>
      <c r="H60" s="7"/>
      <c r="I60" s="7"/>
      <c r="J60" s="58">
        <f>Insumos!$B$8</f>
        <v>350.88</v>
      </c>
      <c r="K60" s="58">
        <f>4*J60</f>
        <v>1403.52</v>
      </c>
      <c r="L60" s="7"/>
    </row>
    <row r="61" spans="1:12" ht="15.75" x14ac:dyDescent="0.25">
      <c r="A61" s="7" t="s">
        <v>60</v>
      </c>
      <c r="B61" s="7"/>
      <c r="C61" s="139" t="s">
        <v>63</v>
      </c>
      <c r="D61" s="139"/>
      <c r="E61" s="139"/>
      <c r="F61" s="139"/>
      <c r="G61" s="139"/>
      <c r="H61" s="7"/>
      <c r="I61" s="7"/>
      <c r="J61" s="58">
        <f>Insumos!$B$9</f>
        <v>2680.95</v>
      </c>
      <c r="K61" s="58">
        <f>J61/12</f>
        <v>223.41249999999999</v>
      </c>
      <c r="L61" s="7"/>
    </row>
    <row r="62" spans="1:12" ht="15.75" x14ac:dyDescent="0.25">
      <c r="A62" s="7" t="s">
        <v>61</v>
      </c>
      <c r="B62" s="7"/>
      <c r="C62" s="193" t="s">
        <v>62</v>
      </c>
      <c r="D62" s="193"/>
      <c r="E62" s="193"/>
      <c r="F62" s="139"/>
      <c r="G62" s="139"/>
      <c r="H62" s="7"/>
      <c r="I62" s="7"/>
      <c r="J62" s="60">
        <f>Insumos!$B$10</f>
        <v>932.23</v>
      </c>
      <c r="K62" s="58">
        <f>J62/12</f>
        <v>77.685833333333335</v>
      </c>
      <c r="L62" s="7"/>
    </row>
    <row r="63" spans="1:12" ht="15.75" x14ac:dyDescent="0.25">
      <c r="A63" s="7" t="s">
        <v>142</v>
      </c>
      <c r="B63" s="7"/>
      <c r="C63" s="203" t="s">
        <v>143</v>
      </c>
      <c r="D63" s="203"/>
      <c r="E63" s="203"/>
      <c r="F63" s="203"/>
      <c r="G63" s="139"/>
      <c r="H63" s="7"/>
      <c r="I63" s="7"/>
      <c r="J63" s="60">
        <f>Insumos!$B$11</f>
        <v>471.82</v>
      </c>
      <c r="K63" s="72">
        <f>J63/24</f>
        <v>19.659166666666668</v>
      </c>
      <c r="L63" s="7"/>
    </row>
    <row r="64" spans="1:12" ht="15.75" x14ac:dyDescent="0.25">
      <c r="A64" s="7" t="s">
        <v>340</v>
      </c>
      <c r="B64" s="7"/>
      <c r="C64" s="165" t="s">
        <v>343</v>
      </c>
      <c r="D64" s="165"/>
      <c r="E64" s="165"/>
      <c r="F64" s="165"/>
      <c r="G64" s="164"/>
      <c r="H64" s="7"/>
      <c r="I64" s="7"/>
      <c r="J64" s="60">
        <f>Insumos!$B$12</f>
        <v>14.372399999999997</v>
      </c>
      <c r="K64" s="72">
        <f>J64/60</f>
        <v>0.23953999999999995</v>
      </c>
      <c r="L64" s="7"/>
    </row>
    <row r="65" spans="1:13" ht="20.25" customHeight="1" x14ac:dyDescent="0.25">
      <c r="A65" s="200" t="s">
        <v>43</v>
      </c>
      <c r="B65" s="200"/>
      <c r="C65" s="200"/>
      <c r="D65" s="200"/>
      <c r="E65" s="200"/>
      <c r="F65" s="200"/>
      <c r="G65" s="200"/>
      <c r="H65" s="200"/>
      <c r="I65" s="200"/>
      <c r="J65" s="200"/>
      <c r="K65" s="67">
        <f>SUM(K51:K64)</f>
        <v>19136.944978202664</v>
      </c>
      <c r="L65" s="57" t="s">
        <v>16</v>
      </c>
      <c r="M65" s="4"/>
    </row>
    <row r="67" spans="1:13" ht="19.5" customHeight="1" x14ac:dyDescent="0.3">
      <c r="A67" s="201" t="s">
        <v>132</v>
      </c>
      <c r="B67" s="201"/>
      <c r="C67" s="201"/>
      <c r="D67" s="201"/>
      <c r="E67" s="201"/>
      <c r="F67" s="201"/>
      <c r="G67" s="201"/>
      <c r="H67" s="201"/>
      <c r="I67" s="201"/>
      <c r="K67" s="66">
        <f>K47+K65</f>
        <v>29316.061866248667</v>
      </c>
    </row>
    <row r="69" spans="1:13" ht="15.75" x14ac:dyDescent="0.25">
      <c r="A69" s="197" t="s">
        <v>133</v>
      </c>
      <c r="B69" s="197"/>
      <c r="C69" s="197"/>
      <c r="D69" s="197"/>
      <c r="E69" s="197"/>
      <c r="I69" s="202" t="s">
        <v>55</v>
      </c>
      <c r="J69" s="202"/>
    </row>
    <row r="70" spans="1:13" ht="15.75" x14ac:dyDescent="0.25">
      <c r="A70" s="7" t="s">
        <v>341</v>
      </c>
      <c r="B70" s="7"/>
      <c r="C70" s="193" t="s">
        <v>54</v>
      </c>
      <c r="D70" s="193"/>
      <c r="E70" s="193"/>
      <c r="F70" s="193"/>
      <c r="G70" s="7"/>
      <c r="H70" s="7"/>
      <c r="I70" s="168">
        <f>Insumos!$B$15</f>
        <v>2.6599999999999999E-2</v>
      </c>
      <c r="J70" s="7"/>
      <c r="K70" s="58">
        <f>I70*K67</f>
        <v>779.80724564221453</v>
      </c>
      <c r="L70" s="7"/>
    </row>
    <row r="71" spans="1:13" ht="15.75" x14ac:dyDescent="0.25">
      <c r="A71" s="7" t="s">
        <v>342</v>
      </c>
      <c r="B71" s="7"/>
      <c r="C71" s="193" t="s">
        <v>59</v>
      </c>
      <c r="D71" s="193"/>
      <c r="E71" s="193"/>
      <c r="F71" s="193"/>
      <c r="G71" s="7"/>
      <c r="H71" s="7"/>
      <c r="I71" s="169">
        <f>Insumos!$B$16</f>
        <v>0.04</v>
      </c>
      <c r="J71" s="7"/>
      <c r="K71" s="58">
        <f>I71*(K67+K70)</f>
        <v>1203.8347644756354</v>
      </c>
      <c r="L71" s="7"/>
    </row>
    <row r="72" spans="1:13" ht="18.75" x14ac:dyDescent="0.3">
      <c r="A72" s="7"/>
      <c r="B72" s="7"/>
      <c r="C72" s="7"/>
      <c r="D72" s="7"/>
      <c r="E72" s="7"/>
      <c r="F72" s="7"/>
      <c r="G72" s="7"/>
      <c r="H72" s="7"/>
      <c r="I72" s="7"/>
      <c r="J72" s="61" t="s">
        <v>131</v>
      </c>
      <c r="K72" s="65">
        <f>SUM(K70:K71)</f>
        <v>1983.6420101178501</v>
      </c>
      <c r="L72" s="54" t="s">
        <v>16</v>
      </c>
    </row>
    <row r="74" spans="1:13" ht="15.75" x14ac:dyDescent="0.25">
      <c r="A74" s="197" t="s">
        <v>134</v>
      </c>
      <c r="B74" s="197"/>
      <c r="C74" s="197"/>
      <c r="D74" s="197"/>
      <c r="E74" s="197"/>
      <c r="F74" s="7"/>
      <c r="G74" s="7"/>
      <c r="H74" s="7"/>
      <c r="I74" s="7"/>
      <c r="J74" s="7"/>
      <c r="K74" s="7"/>
      <c r="L74" s="7"/>
    </row>
    <row r="75" spans="1:13" ht="15.75" x14ac:dyDescent="0.25">
      <c r="A75" s="193" t="s">
        <v>42</v>
      </c>
      <c r="B75" s="193"/>
      <c r="C75" s="193"/>
      <c r="D75" s="193"/>
      <c r="E75" s="193"/>
      <c r="F75" s="193"/>
      <c r="G75" s="7"/>
      <c r="H75" s="7"/>
      <c r="I75" s="198" t="s">
        <v>47</v>
      </c>
      <c r="J75" s="198"/>
      <c r="K75" s="51">
        <f>K67+K72</f>
        <v>31299.703876366519</v>
      </c>
      <c r="L75" s="7"/>
    </row>
    <row r="76" spans="1:13" ht="15.75" x14ac:dyDescent="0.25">
      <c r="A76" s="7" t="s">
        <v>53</v>
      </c>
      <c r="C76" s="7" t="s">
        <v>44</v>
      </c>
      <c r="D76" s="7"/>
      <c r="E76" s="7"/>
      <c r="F76" s="7"/>
      <c r="G76" s="7"/>
      <c r="H76" s="7"/>
      <c r="I76" s="199">
        <f>Insumos!$B$18</f>
        <v>0.05</v>
      </c>
      <c r="J76" s="199"/>
      <c r="K76" s="51">
        <f>$K$75/(1-(SUM($I$76:$J$78)))*I76</f>
        <v>1713.1748153457318</v>
      </c>
      <c r="L76" s="7"/>
    </row>
    <row r="77" spans="1:13" ht="15.75" x14ac:dyDescent="0.25">
      <c r="A77" s="7" t="s">
        <v>344</v>
      </c>
      <c r="C77" s="7" t="s">
        <v>45</v>
      </c>
      <c r="D77" s="7"/>
      <c r="E77" s="7"/>
      <c r="F77" s="7"/>
      <c r="G77" s="7"/>
      <c r="H77" s="7"/>
      <c r="I77" s="199">
        <f>Insumos!$B$19</f>
        <v>6.4999999999999997E-3</v>
      </c>
      <c r="J77" s="199"/>
      <c r="K77" s="51">
        <f>$K$75/(1-(SUM($I$76:$J$78)))*I77</f>
        <v>222.71272599494509</v>
      </c>
      <c r="L77" s="7"/>
    </row>
    <row r="78" spans="1:13" ht="15.75" x14ac:dyDescent="0.25">
      <c r="A78" s="7" t="s">
        <v>345</v>
      </c>
      <c r="C78" s="7" t="s">
        <v>46</v>
      </c>
      <c r="D78" s="7"/>
      <c r="E78" s="7"/>
      <c r="F78" s="7"/>
      <c r="G78" s="7"/>
      <c r="H78" s="7"/>
      <c r="I78" s="199">
        <f>Insumos!$B$20</f>
        <v>0.03</v>
      </c>
      <c r="J78" s="199"/>
      <c r="K78" s="51">
        <f>$K$75/(1-(SUM($I$76:$J$78)))*I78</f>
        <v>1027.9048892074388</v>
      </c>
      <c r="L78" s="7"/>
    </row>
    <row r="79" spans="1:13" ht="21" customHeight="1" x14ac:dyDescent="0.3">
      <c r="A79" s="190" t="s">
        <v>48</v>
      </c>
      <c r="B79" s="190"/>
      <c r="C79" s="190"/>
      <c r="D79" s="190"/>
      <c r="E79" s="190"/>
      <c r="F79" s="190"/>
      <c r="G79" s="190"/>
      <c r="H79" s="190"/>
      <c r="I79" s="190"/>
      <c r="J79" s="190"/>
      <c r="K79" s="64">
        <f>SUM(K76:K78)</f>
        <v>2963.7924305481156</v>
      </c>
      <c r="L79" s="54" t="s">
        <v>16</v>
      </c>
    </row>
    <row r="81" spans="1:20" x14ac:dyDescent="0.25">
      <c r="C81" s="5"/>
      <c r="D81" s="5"/>
      <c r="E81" s="5"/>
      <c r="F81" s="5"/>
      <c r="K81" s="2"/>
    </row>
    <row r="82" spans="1:20" ht="15.75" x14ac:dyDescent="0.25">
      <c r="A82" s="191" t="s">
        <v>56</v>
      </c>
      <c r="B82" s="191"/>
      <c r="C82" s="191"/>
      <c r="D82" s="191"/>
      <c r="E82" s="191"/>
      <c r="F82" s="191"/>
      <c r="G82" s="191"/>
      <c r="H82" s="191"/>
      <c r="I82" s="191"/>
      <c r="T82" s="43"/>
    </row>
    <row r="83" spans="1:20" ht="15.75" x14ac:dyDescent="0.25">
      <c r="A83" s="140"/>
      <c r="B83" s="140"/>
      <c r="C83" s="140"/>
      <c r="D83" s="140"/>
      <c r="E83" s="140"/>
      <c r="F83" s="140"/>
      <c r="G83" s="140"/>
      <c r="H83" s="140"/>
      <c r="I83" s="140"/>
    </row>
    <row r="84" spans="1:20" ht="15.75" x14ac:dyDescent="0.25">
      <c r="A84" s="191" t="s">
        <v>51</v>
      </c>
      <c r="B84" s="192"/>
      <c r="C84" s="192"/>
      <c r="D84" s="192"/>
      <c r="E84" s="192"/>
      <c r="F84" s="192"/>
      <c r="G84" s="192"/>
      <c r="H84" s="192"/>
    </row>
    <row r="85" spans="1:20" ht="20.25" customHeight="1" x14ac:dyDescent="0.3">
      <c r="A85" s="193" t="s">
        <v>135</v>
      </c>
      <c r="B85" s="193"/>
      <c r="C85" s="193"/>
      <c r="D85" s="193"/>
      <c r="E85" s="193"/>
      <c r="F85" s="193"/>
      <c r="G85" s="193"/>
      <c r="H85" s="193"/>
      <c r="I85" s="193"/>
      <c r="J85" s="193"/>
      <c r="K85" s="62">
        <f>K67+K72+K79</f>
        <v>34263.496306914632</v>
      </c>
    </row>
    <row r="86" spans="1:20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2"/>
    </row>
    <row r="87" spans="1:20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2"/>
      <c r="P87" s="42"/>
    </row>
    <row r="88" spans="1:20" ht="8.25" customHeight="1" x14ac:dyDescent="0.25"/>
    <row r="89" spans="1:20" ht="16.5" customHeight="1" x14ac:dyDescent="0.25">
      <c r="A89" s="194" t="s">
        <v>49</v>
      </c>
      <c r="B89" s="195"/>
      <c r="C89" s="195"/>
      <c r="D89" s="195"/>
      <c r="E89" s="195"/>
      <c r="F89" s="195"/>
      <c r="G89" s="195"/>
      <c r="H89" s="195"/>
      <c r="I89" s="195"/>
      <c r="J89" s="195"/>
      <c r="K89" s="7"/>
      <c r="L89" s="7"/>
    </row>
    <row r="90" spans="1:20" ht="24.75" customHeight="1" x14ac:dyDescent="0.3">
      <c r="A90" s="196" t="s">
        <v>141</v>
      </c>
      <c r="B90" s="196"/>
      <c r="C90" s="196"/>
      <c r="D90" s="196"/>
      <c r="E90" s="196"/>
      <c r="F90" s="196"/>
      <c r="G90" s="196"/>
      <c r="H90" s="196"/>
      <c r="I90" s="196"/>
      <c r="J90" s="196"/>
      <c r="K90" s="71">
        <f>K85/O18</f>
        <v>17.719320832254891</v>
      </c>
      <c r="L90" s="63" t="s">
        <v>50</v>
      </c>
      <c r="Q90">
        <v>17.73</v>
      </c>
    </row>
    <row r="94" spans="1:20" s="10" customFormat="1" x14ac:dyDescent="0.25"/>
    <row r="95" spans="1:20" s="11" customFormat="1" ht="18.75" x14ac:dyDescent="0.3">
      <c r="B95" s="12" t="s">
        <v>69</v>
      </c>
      <c r="D95" s="188" t="s">
        <v>65</v>
      </c>
      <c r="E95" s="188"/>
      <c r="L95" s="12" t="s">
        <v>69</v>
      </c>
      <c r="M95" s="12"/>
      <c r="N95" s="12" t="s">
        <v>75</v>
      </c>
      <c r="O95" s="12"/>
    </row>
    <row r="96" spans="1:20" s="11" customFormat="1" x14ac:dyDescent="0.25"/>
    <row r="97" spans="2:18" s="11" customFormat="1" x14ac:dyDescent="0.25">
      <c r="B97" s="184" t="s">
        <v>66</v>
      </c>
      <c r="C97" s="184"/>
      <c r="D97" s="13"/>
      <c r="E97" s="13"/>
      <c r="F97" s="189">
        <v>288912</v>
      </c>
      <c r="G97" s="189"/>
      <c r="L97" s="13" t="s">
        <v>66</v>
      </c>
      <c r="M97" s="13"/>
      <c r="N97" s="13"/>
      <c r="O97" s="13"/>
      <c r="P97" s="13"/>
      <c r="Q97" s="30">
        <v>271500</v>
      </c>
    </row>
    <row r="98" spans="2:18" s="11" customFormat="1" x14ac:dyDescent="0.25">
      <c r="B98" s="13" t="s">
        <v>67</v>
      </c>
      <c r="D98" s="13"/>
      <c r="E98" s="13"/>
      <c r="F98" s="185">
        <v>10</v>
      </c>
      <c r="G98" s="185"/>
      <c r="H98" s="11" t="s">
        <v>154</v>
      </c>
      <c r="L98" s="13" t="s">
        <v>67</v>
      </c>
      <c r="M98" s="13"/>
      <c r="N98" s="13"/>
      <c r="O98" s="13"/>
      <c r="P98" s="13"/>
      <c r="Q98" s="13">
        <v>10</v>
      </c>
      <c r="R98" s="11" t="s">
        <v>154</v>
      </c>
    </row>
    <row r="99" spans="2:18" s="11" customFormat="1" x14ac:dyDescent="0.25">
      <c r="B99" s="13" t="s">
        <v>81</v>
      </c>
      <c r="D99" s="13"/>
      <c r="E99" s="13"/>
      <c r="F99" s="137"/>
      <c r="G99" s="137">
        <v>2018</v>
      </c>
      <c r="L99" s="13" t="s">
        <v>81</v>
      </c>
      <c r="N99" s="13"/>
      <c r="O99" s="13"/>
      <c r="P99" s="137"/>
      <c r="Q99" s="137">
        <v>2018</v>
      </c>
    </row>
    <row r="100" spans="2:18" s="11" customFormat="1" x14ac:dyDescent="0.25">
      <c r="B100" s="184" t="s">
        <v>68</v>
      </c>
      <c r="C100" s="184"/>
      <c r="D100" s="184"/>
      <c r="F100" s="185">
        <v>6</v>
      </c>
      <c r="G100" s="185"/>
      <c r="L100" s="13" t="s">
        <v>76</v>
      </c>
      <c r="M100" s="13"/>
      <c r="N100" s="13"/>
      <c r="O100" s="13"/>
      <c r="P100" s="13"/>
      <c r="Q100" s="13">
        <v>6</v>
      </c>
    </row>
    <row r="101" spans="2:18" s="11" customFormat="1" x14ac:dyDescent="0.25">
      <c r="B101" s="184" t="s">
        <v>71</v>
      </c>
      <c r="C101" s="184"/>
      <c r="D101" s="184"/>
      <c r="F101" s="137"/>
      <c r="G101" s="17">
        <v>100000</v>
      </c>
      <c r="L101" s="13" t="s">
        <v>71</v>
      </c>
      <c r="M101" s="13"/>
      <c r="N101" s="13"/>
      <c r="O101" s="13"/>
      <c r="P101" s="13"/>
      <c r="Q101" s="19">
        <v>100000</v>
      </c>
    </row>
    <row r="102" spans="2:18" s="11" customFormat="1" x14ac:dyDescent="0.25">
      <c r="B102" s="184" t="s">
        <v>72</v>
      </c>
      <c r="C102" s="184"/>
      <c r="D102" s="184"/>
      <c r="F102" s="137"/>
      <c r="G102" s="138">
        <v>1533.77</v>
      </c>
      <c r="L102" s="13" t="s">
        <v>72</v>
      </c>
      <c r="M102" s="13"/>
      <c r="N102" s="13"/>
      <c r="O102" s="13"/>
      <c r="P102" s="13"/>
      <c r="Q102" s="69">
        <v>860.69</v>
      </c>
    </row>
    <row r="103" spans="2:18" s="11" customFormat="1" x14ac:dyDescent="0.25">
      <c r="B103" s="184" t="s">
        <v>73</v>
      </c>
      <c r="C103" s="184"/>
      <c r="D103" s="136"/>
      <c r="F103" s="137"/>
      <c r="G103" s="137">
        <v>2.6</v>
      </c>
      <c r="H103" s="13" t="s">
        <v>74</v>
      </c>
      <c r="L103" s="13" t="s">
        <v>73</v>
      </c>
      <c r="M103" s="13"/>
      <c r="N103" s="13"/>
      <c r="O103" s="13"/>
      <c r="P103" s="13"/>
      <c r="Q103" s="13">
        <v>4.7</v>
      </c>
    </row>
    <row r="104" spans="2:18" s="11" customFormat="1" x14ac:dyDescent="0.25">
      <c r="B104" s="184" t="s">
        <v>70</v>
      </c>
      <c r="C104" s="184"/>
      <c r="D104" s="184"/>
      <c r="F104" s="185" t="s">
        <v>125</v>
      </c>
      <c r="G104" s="185"/>
      <c r="L104" s="13" t="s">
        <v>70</v>
      </c>
      <c r="M104" s="13"/>
      <c r="N104" s="13"/>
      <c r="O104" s="13"/>
      <c r="P104" s="13"/>
      <c r="Q104" s="13" t="s">
        <v>124</v>
      </c>
    </row>
    <row r="105" spans="2:18" s="11" customFormat="1" x14ac:dyDescent="0.25"/>
    <row r="106" spans="2:18" s="11" customFormat="1" x14ac:dyDescent="0.25"/>
    <row r="107" spans="2:18" s="11" customFormat="1" ht="18.75" x14ac:dyDescent="0.3">
      <c r="B107" s="12" t="s">
        <v>69</v>
      </c>
      <c r="C107" s="12"/>
      <c r="D107" s="12" t="s">
        <v>77</v>
      </c>
      <c r="E107" s="13"/>
      <c r="F107" s="13"/>
      <c r="G107" s="13"/>
      <c r="H107" s="13"/>
      <c r="L107" s="12" t="s">
        <v>69</v>
      </c>
      <c r="M107" s="16"/>
      <c r="N107" s="16"/>
      <c r="O107" s="12" t="s">
        <v>78</v>
      </c>
    </row>
    <row r="108" spans="2:18" s="11" customFormat="1" x14ac:dyDescent="0.25">
      <c r="B108" s="13"/>
      <c r="C108" s="13"/>
      <c r="D108" s="13"/>
      <c r="E108" s="13"/>
      <c r="F108" s="13"/>
      <c r="G108" s="13"/>
      <c r="H108" s="13"/>
    </row>
    <row r="109" spans="2:18" s="11" customFormat="1" x14ac:dyDescent="0.25">
      <c r="B109" s="184" t="s">
        <v>66</v>
      </c>
      <c r="C109" s="184"/>
      <c r="D109" s="13"/>
      <c r="E109" s="13"/>
      <c r="F109" s="185">
        <v>400</v>
      </c>
      <c r="G109" s="185"/>
      <c r="H109" s="13"/>
      <c r="L109" s="184" t="s">
        <v>66</v>
      </c>
      <c r="M109" s="184"/>
      <c r="N109" s="13"/>
      <c r="O109" s="13"/>
      <c r="P109" s="185" t="s">
        <v>78</v>
      </c>
      <c r="Q109" s="185"/>
      <c r="R109" s="13"/>
    </row>
    <row r="110" spans="2:18" s="11" customFormat="1" x14ac:dyDescent="0.25">
      <c r="B110" s="13" t="s">
        <v>67</v>
      </c>
      <c r="C110" s="13"/>
      <c r="D110" s="13"/>
      <c r="E110" s="13"/>
      <c r="F110" s="185">
        <v>10</v>
      </c>
      <c r="G110" s="185"/>
      <c r="H110" s="13" t="s">
        <v>154</v>
      </c>
      <c r="L110" s="13" t="s">
        <v>67</v>
      </c>
      <c r="M110" s="13"/>
      <c r="N110" s="13"/>
      <c r="O110" s="13"/>
      <c r="P110" s="185">
        <v>8</v>
      </c>
      <c r="Q110" s="185"/>
      <c r="R110" s="13" t="s">
        <v>154</v>
      </c>
    </row>
    <row r="111" spans="2:18" s="11" customFormat="1" x14ac:dyDescent="0.25">
      <c r="B111" s="13" t="s">
        <v>81</v>
      </c>
      <c r="D111" s="13"/>
      <c r="E111" s="13"/>
      <c r="F111" s="137"/>
      <c r="G111" s="137" t="s">
        <v>82</v>
      </c>
      <c r="L111" s="13" t="s">
        <v>81</v>
      </c>
      <c r="N111" s="13"/>
      <c r="O111" s="13"/>
      <c r="P111" s="137"/>
      <c r="Q111" s="137" t="s">
        <v>83</v>
      </c>
      <c r="R111" s="13"/>
    </row>
    <row r="112" spans="2:18" s="11" customFormat="1" x14ac:dyDescent="0.25">
      <c r="B112" s="184" t="s">
        <v>68</v>
      </c>
      <c r="C112" s="184"/>
      <c r="D112" s="184"/>
      <c r="E112" s="13"/>
      <c r="F112" s="185" t="s">
        <v>87</v>
      </c>
      <c r="G112" s="185"/>
      <c r="H112" s="13"/>
      <c r="L112" s="184" t="s">
        <v>68</v>
      </c>
      <c r="M112" s="184"/>
      <c r="N112" s="184"/>
      <c r="O112" s="13"/>
      <c r="P112" s="185" t="s">
        <v>88</v>
      </c>
      <c r="Q112" s="185"/>
      <c r="R112" s="13"/>
    </row>
    <row r="113" spans="2:21" s="11" customFormat="1" x14ac:dyDescent="0.25">
      <c r="B113" s="184" t="s">
        <v>71</v>
      </c>
      <c r="C113" s="184"/>
      <c r="D113" s="184"/>
      <c r="E113" s="13"/>
      <c r="F113" s="137"/>
      <c r="G113" s="137" t="s">
        <v>89</v>
      </c>
      <c r="H113" s="13"/>
      <c r="L113" s="184" t="s">
        <v>71</v>
      </c>
      <c r="M113" s="184"/>
      <c r="N113" s="184"/>
      <c r="O113" s="13"/>
      <c r="P113" s="137"/>
      <c r="Q113" s="137" t="s">
        <v>90</v>
      </c>
      <c r="R113" s="13"/>
    </row>
    <row r="114" spans="2:21" s="11" customFormat="1" x14ac:dyDescent="0.25">
      <c r="B114" s="184" t="s">
        <v>72</v>
      </c>
      <c r="C114" s="184"/>
      <c r="D114" s="184"/>
      <c r="E114" s="13"/>
      <c r="F114" s="137"/>
      <c r="G114" s="137">
        <v>400</v>
      </c>
      <c r="H114" s="13"/>
      <c r="L114" s="184" t="s">
        <v>72</v>
      </c>
      <c r="M114" s="184"/>
      <c r="N114" s="184"/>
      <c r="O114" s="13"/>
      <c r="P114" s="137"/>
      <c r="Q114" s="137">
        <v>4444</v>
      </c>
      <c r="R114" s="13"/>
    </row>
    <row r="115" spans="2:21" s="11" customFormat="1" x14ac:dyDescent="0.25">
      <c r="B115" s="184" t="s">
        <v>73</v>
      </c>
      <c r="C115" s="184"/>
      <c r="D115" s="136"/>
      <c r="E115" s="13"/>
      <c r="F115" s="137"/>
      <c r="G115" s="137">
        <v>2</v>
      </c>
      <c r="H115" s="13" t="s">
        <v>74</v>
      </c>
      <c r="L115" s="184" t="s">
        <v>73</v>
      </c>
      <c r="M115" s="184"/>
      <c r="N115" s="136"/>
      <c r="O115" s="13"/>
      <c r="P115" s="137"/>
      <c r="Q115" s="137">
        <v>4</v>
      </c>
      <c r="R115" s="13" t="s">
        <v>74</v>
      </c>
    </row>
    <row r="116" spans="2:21" s="11" customFormat="1" x14ac:dyDescent="0.25">
      <c r="B116" s="184" t="s">
        <v>70</v>
      </c>
      <c r="C116" s="184"/>
      <c r="D116" s="184"/>
      <c r="E116" s="13"/>
      <c r="F116" s="185" t="s">
        <v>85</v>
      </c>
      <c r="G116" s="185"/>
      <c r="H116" s="13"/>
      <c r="L116" s="184" t="s">
        <v>70</v>
      </c>
      <c r="M116" s="184"/>
      <c r="N116" s="184"/>
      <c r="O116" s="13"/>
      <c r="P116" s="185" t="s">
        <v>86</v>
      </c>
      <c r="Q116" s="185"/>
      <c r="R116" s="13"/>
    </row>
    <row r="117" spans="2:21" s="11" customFormat="1" x14ac:dyDescent="0.25"/>
    <row r="118" spans="2:21" s="11" customFormat="1" x14ac:dyDescent="0.25"/>
    <row r="119" spans="2:21" s="11" customFormat="1" ht="18.75" x14ac:dyDescent="0.3">
      <c r="Q119" s="12" t="s">
        <v>65</v>
      </c>
      <c r="R119" s="12"/>
      <c r="T119" s="13" t="s">
        <v>130</v>
      </c>
      <c r="U119" s="13"/>
    </row>
    <row r="120" spans="2:21" s="11" customFormat="1" ht="18.75" x14ac:dyDescent="0.3">
      <c r="Q120" s="12" t="s">
        <v>75</v>
      </c>
      <c r="T120" s="13" t="s">
        <v>129</v>
      </c>
      <c r="U120" s="13"/>
    </row>
    <row r="121" spans="2:21" s="11" customFormat="1" ht="18.75" x14ac:dyDescent="0.3">
      <c r="Q121" s="12" t="s">
        <v>77</v>
      </c>
    </row>
    <row r="122" spans="2:21" s="11" customFormat="1" ht="18" customHeight="1" x14ac:dyDescent="0.3">
      <c r="B122" s="186" t="s">
        <v>172</v>
      </c>
      <c r="C122" s="186"/>
      <c r="Q122" s="12" t="s">
        <v>78</v>
      </c>
    </row>
    <row r="123" spans="2:21" ht="0.75" hidden="1" customHeight="1" x14ac:dyDescent="0.25">
      <c r="B123" s="186"/>
      <c r="C123" s="186"/>
    </row>
    <row r="124" spans="2:21" hidden="1" x14ac:dyDescent="0.25">
      <c r="B124" s="186"/>
      <c r="C124" s="186"/>
    </row>
    <row r="125" spans="2:21" x14ac:dyDescent="0.25">
      <c r="B125" s="186"/>
      <c r="C125" s="186"/>
    </row>
    <row r="126" spans="2:21" ht="24.75" x14ac:dyDescent="0.25">
      <c r="B126" s="94" t="s">
        <v>173</v>
      </c>
      <c r="C126" s="9" t="s">
        <v>174</v>
      </c>
      <c r="D126" s="9"/>
      <c r="E126" s="9"/>
      <c r="F126" s="9" t="s">
        <v>175</v>
      </c>
      <c r="G126" s="9"/>
      <c r="H126" s="9"/>
      <c r="I126" s="9" t="s">
        <v>176</v>
      </c>
      <c r="J126" s="9"/>
      <c r="K126" s="9"/>
      <c r="L126" s="9" t="s">
        <v>177</v>
      </c>
      <c r="M126" s="9"/>
      <c r="N126" s="9"/>
    </row>
    <row r="127" spans="2:21" x14ac:dyDescent="0.25">
      <c r="B127" s="5">
        <v>40</v>
      </c>
      <c r="C127" s="2">
        <f>$K$42*(B127*21)</f>
        <v>4049.0369329846144</v>
      </c>
      <c r="F127" s="2">
        <f>(C127+$K$65)*0.05</f>
        <v>1159.2990955593639</v>
      </c>
      <c r="I127" s="2">
        <f>(C127+$K$65+F127)*6%</f>
        <v>1460.7168604047984</v>
      </c>
      <c r="L127" s="31">
        <f>(C127+$K$65+F127+I127)*14.25%</f>
        <v>3677.3546960690801</v>
      </c>
      <c r="M127" s="9"/>
      <c r="N127" s="9"/>
    </row>
    <row r="128" spans="2:21" x14ac:dyDescent="0.25">
      <c r="B128" s="5">
        <v>50</v>
      </c>
      <c r="C128" s="2">
        <f t="shared" ref="C128:C139" si="0">$K$42*(B128*21)</f>
        <v>5061.296166230768</v>
      </c>
      <c r="F128" s="2">
        <f t="shared" ref="F128:F139" si="1">(C128+$K$65)*0.05</f>
        <v>1209.9120572216716</v>
      </c>
      <c r="I128" s="2">
        <f t="shared" ref="I128:I139" si="2">(C128+$K$65+F128)*6%</f>
        <v>1524.4891920993061</v>
      </c>
      <c r="L128" s="31">
        <f t="shared" ref="L128:L139" si="3">(C128+$K$65+F128+I128)*14.25%</f>
        <v>3837.9015411100031</v>
      </c>
      <c r="M128" s="9"/>
      <c r="N128" s="9"/>
    </row>
    <row r="129" spans="2:14" x14ac:dyDescent="0.25">
      <c r="B129" s="5">
        <v>60</v>
      </c>
      <c r="C129" s="2">
        <f t="shared" si="0"/>
        <v>6073.5553994769216</v>
      </c>
      <c r="F129" s="2">
        <f t="shared" si="1"/>
        <v>1260.5250188839793</v>
      </c>
      <c r="I129" s="2">
        <f t="shared" si="2"/>
        <v>1588.2615237938137</v>
      </c>
      <c r="L129" s="31">
        <f t="shared" si="3"/>
        <v>3998.4483861509261</v>
      </c>
      <c r="M129" s="9"/>
      <c r="N129" s="9"/>
    </row>
    <row r="130" spans="2:14" x14ac:dyDescent="0.25">
      <c r="B130" s="5">
        <v>70</v>
      </c>
      <c r="C130" s="2">
        <f t="shared" si="0"/>
        <v>7085.8146327230752</v>
      </c>
      <c r="F130" s="2">
        <f t="shared" si="1"/>
        <v>1311.1379805462871</v>
      </c>
      <c r="I130" s="2">
        <f t="shared" si="2"/>
        <v>1652.0338554883215</v>
      </c>
      <c r="L130" s="31">
        <f t="shared" si="3"/>
        <v>4158.9952311918487</v>
      </c>
      <c r="M130" s="9"/>
      <c r="N130" s="9"/>
    </row>
    <row r="131" spans="2:14" x14ac:dyDescent="0.25">
      <c r="B131" s="5">
        <v>80</v>
      </c>
      <c r="C131" s="2">
        <f t="shared" si="0"/>
        <v>8098.0738659692288</v>
      </c>
      <c r="F131" s="2">
        <f t="shared" si="1"/>
        <v>1361.7509422085948</v>
      </c>
      <c r="I131" s="2">
        <f t="shared" si="2"/>
        <v>1715.806187182829</v>
      </c>
      <c r="L131" s="31">
        <f t="shared" si="3"/>
        <v>4319.5420762327722</v>
      </c>
      <c r="M131" s="9"/>
      <c r="N131" s="9"/>
    </row>
    <row r="132" spans="2:14" x14ac:dyDescent="0.25">
      <c r="B132" s="5">
        <v>90</v>
      </c>
      <c r="C132" s="2">
        <f t="shared" si="0"/>
        <v>9110.3330992153824</v>
      </c>
      <c r="F132" s="2">
        <f t="shared" si="1"/>
        <v>1412.3639038709025</v>
      </c>
      <c r="I132" s="2">
        <f t="shared" si="2"/>
        <v>1779.578518877337</v>
      </c>
      <c r="L132" s="31">
        <f t="shared" si="3"/>
        <v>4480.0889212736956</v>
      </c>
      <c r="M132" s="9"/>
      <c r="N132" s="9"/>
    </row>
    <row r="133" spans="2:14" x14ac:dyDescent="0.25">
      <c r="B133" s="5">
        <v>100</v>
      </c>
      <c r="C133" s="2">
        <f t="shared" si="0"/>
        <v>10122.592332461536</v>
      </c>
      <c r="F133" s="2">
        <f t="shared" si="1"/>
        <v>1462.97686553321</v>
      </c>
      <c r="I133" s="2">
        <f t="shared" si="2"/>
        <v>1843.3508505718444</v>
      </c>
      <c r="L133" s="31">
        <f t="shared" si="3"/>
        <v>4640.6357663146182</v>
      </c>
      <c r="M133" s="9"/>
      <c r="N133" s="9"/>
    </row>
    <row r="134" spans="2:14" x14ac:dyDescent="0.25">
      <c r="B134" s="5">
        <v>110</v>
      </c>
      <c r="C134" s="2">
        <f t="shared" si="0"/>
        <v>11134.85156570769</v>
      </c>
      <c r="F134" s="2">
        <f t="shared" si="1"/>
        <v>1513.5898271955177</v>
      </c>
      <c r="I134" s="2">
        <f t="shared" si="2"/>
        <v>1907.1231822663524</v>
      </c>
      <c r="L134" s="31">
        <f t="shared" si="3"/>
        <v>4801.1826113555417</v>
      </c>
      <c r="M134" s="9"/>
      <c r="N134" s="9"/>
    </row>
    <row r="135" spans="2:14" x14ac:dyDescent="0.25">
      <c r="B135" s="5">
        <v>120</v>
      </c>
      <c r="C135" s="2">
        <f t="shared" si="0"/>
        <v>12147.110798953843</v>
      </c>
      <c r="F135" s="2">
        <f t="shared" si="1"/>
        <v>1564.2027888578255</v>
      </c>
      <c r="I135" s="2">
        <f t="shared" si="2"/>
        <v>1970.8955139608597</v>
      </c>
      <c r="L135" s="31">
        <f t="shared" si="3"/>
        <v>4961.7294563964642</v>
      </c>
      <c r="M135" s="9"/>
      <c r="N135" s="9"/>
    </row>
    <row r="136" spans="2:14" x14ac:dyDescent="0.25">
      <c r="B136" s="5">
        <v>130</v>
      </c>
      <c r="C136" s="2">
        <f t="shared" si="0"/>
        <v>13159.370032199997</v>
      </c>
      <c r="F136" s="2">
        <f t="shared" si="1"/>
        <v>1614.8157505201332</v>
      </c>
      <c r="I136" s="2">
        <f t="shared" si="2"/>
        <v>2034.6678456553677</v>
      </c>
      <c r="L136" s="31">
        <f t="shared" si="3"/>
        <v>5122.2763014373886</v>
      </c>
      <c r="M136" s="9"/>
      <c r="N136" s="9"/>
    </row>
    <row r="137" spans="2:14" x14ac:dyDescent="0.25">
      <c r="B137" s="5">
        <v>140</v>
      </c>
      <c r="C137" s="2">
        <f t="shared" si="0"/>
        <v>14171.62926544615</v>
      </c>
      <c r="F137" s="2">
        <f t="shared" si="1"/>
        <v>1665.4287121824409</v>
      </c>
      <c r="I137" s="2">
        <f t="shared" si="2"/>
        <v>2098.4401773498753</v>
      </c>
      <c r="L137" s="31">
        <f t="shared" si="3"/>
        <v>5282.8231464783103</v>
      </c>
      <c r="M137" s="9"/>
      <c r="N137" s="9"/>
    </row>
    <row r="138" spans="2:14" x14ac:dyDescent="0.25">
      <c r="B138" s="5">
        <v>150</v>
      </c>
      <c r="C138" s="2">
        <f t="shared" si="0"/>
        <v>15183.888498692304</v>
      </c>
      <c r="F138" s="2">
        <f t="shared" si="1"/>
        <v>1716.0416738447486</v>
      </c>
      <c r="I138" s="2">
        <f t="shared" si="2"/>
        <v>2162.2125090443828</v>
      </c>
      <c r="L138" s="31">
        <f t="shared" si="3"/>
        <v>5443.3699915192337</v>
      </c>
      <c r="M138" s="9"/>
      <c r="N138" s="9"/>
    </row>
    <row r="139" spans="2:14" x14ac:dyDescent="0.25">
      <c r="B139" s="5">
        <v>160</v>
      </c>
      <c r="C139" s="2">
        <f t="shared" si="0"/>
        <v>16196.147731938458</v>
      </c>
      <c r="F139" s="2">
        <f t="shared" si="1"/>
        <v>1766.6546355070561</v>
      </c>
      <c r="I139" s="2">
        <f t="shared" si="2"/>
        <v>2225.9848407388904</v>
      </c>
      <c r="L139" s="31">
        <f t="shared" si="3"/>
        <v>5603.9168365601563</v>
      </c>
      <c r="M139" s="9"/>
      <c r="N139" s="9"/>
    </row>
    <row r="140" spans="2:14" x14ac:dyDescent="0.25">
      <c r="B140" s="5"/>
    </row>
    <row r="143" spans="2:14" x14ac:dyDescent="0.25">
      <c r="B143" s="187" t="s">
        <v>178</v>
      </c>
      <c r="C143" s="187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</row>
    <row r="144" spans="2:14" x14ac:dyDescent="0.25">
      <c r="B144" s="187"/>
      <c r="C144" s="187"/>
    </row>
    <row r="145" spans="2:14" x14ac:dyDescent="0.25">
      <c r="B145" s="187"/>
      <c r="C145" s="187"/>
    </row>
    <row r="146" spans="2:14" x14ac:dyDescent="0.25">
      <c r="B146" s="187"/>
      <c r="C146" s="187"/>
    </row>
    <row r="147" spans="2:14" ht="24.75" x14ac:dyDescent="0.25">
      <c r="B147" s="94" t="s">
        <v>173</v>
      </c>
      <c r="C147" s="9" t="s">
        <v>174</v>
      </c>
      <c r="D147" s="9"/>
      <c r="E147" s="9"/>
      <c r="F147" s="9" t="s">
        <v>175</v>
      </c>
      <c r="G147" s="9"/>
      <c r="H147" s="9"/>
      <c r="I147" s="9" t="s">
        <v>176</v>
      </c>
      <c r="J147" s="9"/>
      <c r="K147" s="9"/>
      <c r="L147" s="9" t="s">
        <v>177</v>
      </c>
      <c r="M147" s="9"/>
      <c r="N147" s="9"/>
    </row>
    <row r="148" spans="2:14" x14ac:dyDescent="0.25">
      <c r="B148" s="5">
        <v>40</v>
      </c>
      <c r="C148" s="2">
        <f>($K$42*(B148*21))*1.154</f>
        <v>4672.5886206642444</v>
      </c>
      <c r="F148" s="2">
        <f>(C148+$K$65)*0.05</f>
        <v>1190.4766799433455</v>
      </c>
      <c r="I148" s="2">
        <f>(C148+$K$65+F148)*6%</f>
        <v>1500.0006167286153</v>
      </c>
      <c r="L148" s="31">
        <f>(C148+$K$65+F148+I148)*14.25%</f>
        <v>3776.2515526142888</v>
      </c>
      <c r="M148" s="9"/>
      <c r="N148" s="9"/>
    </row>
    <row r="149" spans="2:14" x14ac:dyDescent="0.25">
      <c r="B149" s="5">
        <v>50</v>
      </c>
      <c r="C149" s="2">
        <f t="shared" ref="C149:C160" si="4">($K$42*(B149*21))*1.154</f>
        <v>5840.735775830306</v>
      </c>
      <c r="F149" s="2">
        <f t="shared" ref="F149:F160" si="5">(C149+$K$65)*0.05</f>
        <v>1248.8840377016486</v>
      </c>
      <c r="I149" s="2">
        <f t="shared" ref="I149:I160" si="6">(C149+$K$65+F149)*6%</f>
        <v>1573.593887504077</v>
      </c>
      <c r="L149" s="31">
        <f t="shared" ref="L149:L160" si="7">(C149+$K$65+F149+I149)*14.25%</f>
        <v>3961.5226117915136</v>
      </c>
      <c r="M149" s="9"/>
      <c r="N149" s="9"/>
    </row>
    <row r="150" spans="2:14" x14ac:dyDescent="0.25">
      <c r="B150" s="5">
        <v>60</v>
      </c>
      <c r="C150" s="2">
        <f t="shared" si="4"/>
        <v>7008.8829309963667</v>
      </c>
      <c r="F150" s="2">
        <f t="shared" si="5"/>
        <v>1307.2913954599517</v>
      </c>
      <c r="I150" s="2">
        <f t="shared" si="6"/>
        <v>1647.1871582795388</v>
      </c>
      <c r="L150" s="31">
        <f t="shared" si="7"/>
        <v>4146.7936709687392</v>
      </c>
      <c r="M150" s="9"/>
      <c r="N150" s="9"/>
    </row>
    <row r="151" spans="2:14" x14ac:dyDescent="0.25">
      <c r="B151" s="5">
        <v>70</v>
      </c>
      <c r="C151" s="2">
        <f t="shared" si="4"/>
        <v>8177.0300861624282</v>
      </c>
      <c r="F151" s="2">
        <f t="shared" si="5"/>
        <v>1365.6987532182548</v>
      </c>
      <c r="I151" s="2">
        <f t="shared" si="6"/>
        <v>1720.7804290550007</v>
      </c>
      <c r="L151" s="31">
        <f t="shared" si="7"/>
        <v>4332.0647301459639</v>
      </c>
      <c r="M151" s="9"/>
      <c r="N151" s="9"/>
    </row>
    <row r="152" spans="2:14" x14ac:dyDescent="0.25">
      <c r="B152" s="5">
        <v>80</v>
      </c>
      <c r="C152" s="2">
        <f t="shared" si="4"/>
        <v>9345.1772413284889</v>
      </c>
      <c r="F152" s="2">
        <f t="shared" si="5"/>
        <v>1424.1061109765578</v>
      </c>
      <c r="I152" s="2">
        <f t="shared" si="6"/>
        <v>1794.3736998304626</v>
      </c>
      <c r="L152" s="31">
        <f t="shared" si="7"/>
        <v>4517.3357893231896</v>
      </c>
      <c r="M152" s="9"/>
      <c r="N152" s="9"/>
    </row>
    <row r="153" spans="2:14" x14ac:dyDescent="0.25">
      <c r="B153" s="5">
        <v>90</v>
      </c>
      <c r="C153" s="2">
        <f t="shared" si="4"/>
        <v>10513.32439649455</v>
      </c>
      <c r="F153" s="2">
        <f t="shared" si="5"/>
        <v>1482.5134687348609</v>
      </c>
      <c r="I153" s="2">
        <f t="shared" si="6"/>
        <v>1867.9669706059244</v>
      </c>
      <c r="L153" s="31">
        <f t="shared" si="7"/>
        <v>4702.6068485004143</v>
      </c>
      <c r="M153" s="9"/>
      <c r="N153" s="9"/>
    </row>
    <row r="154" spans="2:14" x14ac:dyDescent="0.25">
      <c r="B154" s="5">
        <v>100</v>
      </c>
      <c r="C154" s="2">
        <f t="shared" si="4"/>
        <v>11681.471551660612</v>
      </c>
      <c r="F154" s="2">
        <f t="shared" si="5"/>
        <v>1540.920826493164</v>
      </c>
      <c r="I154" s="2">
        <f t="shared" si="6"/>
        <v>1941.5602413813863</v>
      </c>
      <c r="L154" s="31">
        <f t="shared" si="7"/>
        <v>4887.8779076776391</v>
      </c>
      <c r="M154" s="9"/>
      <c r="N154" s="9"/>
    </row>
    <row r="155" spans="2:14" x14ac:dyDescent="0.25">
      <c r="B155" s="5">
        <v>110</v>
      </c>
      <c r="C155" s="2">
        <f t="shared" si="4"/>
        <v>12849.618706826674</v>
      </c>
      <c r="F155" s="2">
        <f t="shared" si="5"/>
        <v>1599.3281842514671</v>
      </c>
      <c r="I155" s="2">
        <f t="shared" si="6"/>
        <v>2015.1535121568484</v>
      </c>
      <c r="L155" s="31">
        <f t="shared" si="7"/>
        <v>5073.1489668548647</v>
      </c>
      <c r="M155" s="9"/>
      <c r="N155" s="9"/>
    </row>
    <row r="156" spans="2:14" x14ac:dyDescent="0.25">
      <c r="B156" s="5">
        <v>120</v>
      </c>
      <c r="C156" s="2">
        <f t="shared" si="4"/>
        <v>14017.765861992733</v>
      </c>
      <c r="F156" s="2">
        <f t="shared" si="5"/>
        <v>1657.7355420097699</v>
      </c>
      <c r="I156" s="2">
        <f t="shared" si="6"/>
        <v>2088.7467829323095</v>
      </c>
      <c r="L156" s="31">
        <f t="shared" si="7"/>
        <v>5258.4200260320886</v>
      </c>
      <c r="M156" s="9"/>
      <c r="N156" s="9"/>
    </row>
    <row r="157" spans="2:14" x14ac:dyDescent="0.25">
      <c r="B157" s="5">
        <v>130</v>
      </c>
      <c r="C157" s="2">
        <f t="shared" si="4"/>
        <v>15185.913017158795</v>
      </c>
      <c r="F157" s="2">
        <f t="shared" si="5"/>
        <v>1716.1428997680732</v>
      </c>
      <c r="I157" s="2">
        <f t="shared" si="6"/>
        <v>2162.3400537077719</v>
      </c>
      <c r="L157" s="31">
        <f t="shared" si="7"/>
        <v>5443.6910852093151</v>
      </c>
      <c r="M157" s="9"/>
      <c r="N157" s="9"/>
    </row>
    <row r="158" spans="2:14" x14ac:dyDescent="0.25">
      <c r="B158" s="5">
        <v>140</v>
      </c>
      <c r="C158" s="2">
        <f t="shared" si="4"/>
        <v>16354.060172324856</v>
      </c>
      <c r="F158" s="2">
        <f t="shared" si="5"/>
        <v>1774.5502575263761</v>
      </c>
      <c r="I158" s="2">
        <f t="shared" si="6"/>
        <v>2235.9333244832337</v>
      </c>
      <c r="L158" s="31">
        <f t="shared" si="7"/>
        <v>5628.9621443865399</v>
      </c>
      <c r="M158" s="9"/>
      <c r="N158" s="9"/>
    </row>
    <row r="159" spans="2:14" x14ac:dyDescent="0.25">
      <c r="B159" s="5">
        <v>150</v>
      </c>
      <c r="C159" s="2">
        <f t="shared" si="4"/>
        <v>17522.207327490916</v>
      </c>
      <c r="F159" s="2">
        <f t="shared" si="5"/>
        <v>1832.9576152846794</v>
      </c>
      <c r="I159" s="2">
        <f t="shared" si="6"/>
        <v>2309.5265952586956</v>
      </c>
      <c r="L159" s="31">
        <f t="shared" si="7"/>
        <v>5814.2332035637655</v>
      </c>
      <c r="M159" s="9"/>
      <c r="N159" s="9"/>
    </row>
    <row r="160" spans="2:14" x14ac:dyDescent="0.25">
      <c r="B160" s="5">
        <v>160</v>
      </c>
      <c r="C160" s="2">
        <f t="shared" si="4"/>
        <v>18690.354482656978</v>
      </c>
      <c r="F160" s="2">
        <f t="shared" si="5"/>
        <v>1891.3649730429822</v>
      </c>
      <c r="I160" s="2">
        <f t="shared" si="6"/>
        <v>2383.1198660341574</v>
      </c>
      <c r="L160" s="31">
        <f t="shared" si="7"/>
        <v>5999.5042627409903</v>
      </c>
      <c r="M160" s="9"/>
      <c r="N160" s="9"/>
    </row>
  </sheetData>
  <mergeCells count="121">
    <mergeCell ref="A11:F11"/>
    <mergeCell ref="K11:N11"/>
    <mergeCell ref="A12:C12"/>
    <mergeCell ref="E12:F12"/>
    <mergeCell ref="K12:N12"/>
    <mergeCell ref="A13:D13"/>
    <mergeCell ref="E13:F13"/>
    <mergeCell ref="K13:N13"/>
    <mergeCell ref="C2:F6"/>
    <mergeCell ref="H3:P5"/>
    <mergeCell ref="F7:H7"/>
    <mergeCell ref="K7:N7"/>
    <mergeCell ref="B8:C8"/>
    <mergeCell ref="I9:P9"/>
    <mergeCell ref="A9:F9"/>
    <mergeCell ref="O16:O17"/>
    <mergeCell ref="P16:P17"/>
    <mergeCell ref="T17:V17"/>
    <mergeCell ref="A14:D14"/>
    <mergeCell ref="E14:F14"/>
    <mergeCell ref="K14:N15"/>
    <mergeCell ref="O14:O15"/>
    <mergeCell ref="P14:P15"/>
    <mergeCell ref="E15:F15"/>
    <mergeCell ref="K18:N18"/>
    <mergeCell ref="A19:F19"/>
    <mergeCell ref="A20:F20"/>
    <mergeCell ref="H21:N22"/>
    <mergeCell ref="A23:F23"/>
    <mergeCell ref="A24:D24"/>
    <mergeCell ref="E24:F24"/>
    <mergeCell ref="A16:D16"/>
    <mergeCell ref="E16:F16"/>
    <mergeCell ref="K16:N17"/>
    <mergeCell ref="A28:D28"/>
    <mergeCell ref="E28:F28"/>
    <mergeCell ref="A31:F31"/>
    <mergeCell ref="A32:D32"/>
    <mergeCell ref="E32:F32"/>
    <mergeCell ref="A33:D33"/>
    <mergeCell ref="A25:D25"/>
    <mergeCell ref="E25:F25"/>
    <mergeCell ref="A26:D26"/>
    <mergeCell ref="E26:F26"/>
    <mergeCell ref="A27:D27"/>
    <mergeCell ref="E27:F27"/>
    <mergeCell ref="B41:D41"/>
    <mergeCell ref="F41:H41"/>
    <mergeCell ref="A42:E42"/>
    <mergeCell ref="A43:J43"/>
    <mergeCell ref="A45:J45"/>
    <mergeCell ref="A47:J47"/>
    <mergeCell ref="A36:E36"/>
    <mergeCell ref="B37:D37"/>
    <mergeCell ref="E37:F37"/>
    <mergeCell ref="B38:D38"/>
    <mergeCell ref="B39:D39"/>
    <mergeCell ref="B40:D40"/>
    <mergeCell ref="C54:F54"/>
    <mergeCell ref="C55:F55"/>
    <mergeCell ref="C58:F58"/>
    <mergeCell ref="C60:G60"/>
    <mergeCell ref="C62:E62"/>
    <mergeCell ref="C63:F63"/>
    <mergeCell ref="A49:E49"/>
    <mergeCell ref="H50:I50"/>
    <mergeCell ref="C51:F51"/>
    <mergeCell ref="H51:I51"/>
    <mergeCell ref="C52:F52"/>
    <mergeCell ref="C53:F53"/>
    <mergeCell ref="A74:E74"/>
    <mergeCell ref="A75:F75"/>
    <mergeCell ref="I75:J75"/>
    <mergeCell ref="I76:J76"/>
    <mergeCell ref="I77:J77"/>
    <mergeCell ref="I78:J78"/>
    <mergeCell ref="A65:J65"/>
    <mergeCell ref="A67:I67"/>
    <mergeCell ref="A69:E69"/>
    <mergeCell ref="I69:J69"/>
    <mergeCell ref="C70:F70"/>
    <mergeCell ref="C71:F71"/>
    <mergeCell ref="D95:E95"/>
    <mergeCell ref="B97:C97"/>
    <mergeCell ref="F97:G97"/>
    <mergeCell ref="F98:G98"/>
    <mergeCell ref="B100:D100"/>
    <mergeCell ref="F100:G100"/>
    <mergeCell ref="A79:J79"/>
    <mergeCell ref="A82:I82"/>
    <mergeCell ref="A84:H84"/>
    <mergeCell ref="A85:J85"/>
    <mergeCell ref="A89:J89"/>
    <mergeCell ref="A90:J90"/>
    <mergeCell ref="L109:M109"/>
    <mergeCell ref="P109:Q109"/>
    <mergeCell ref="F110:G110"/>
    <mergeCell ref="P110:Q110"/>
    <mergeCell ref="B112:D112"/>
    <mergeCell ref="F112:G112"/>
    <mergeCell ref="L112:N112"/>
    <mergeCell ref="P112:Q112"/>
    <mergeCell ref="B101:D101"/>
    <mergeCell ref="B102:D102"/>
    <mergeCell ref="B103:C103"/>
    <mergeCell ref="B104:D104"/>
    <mergeCell ref="F104:G104"/>
    <mergeCell ref="B109:C109"/>
    <mergeCell ref="F109:G109"/>
    <mergeCell ref="B116:D116"/>
    <mergeCell ref="F116:G116"/>
    <mergeCell ref="L116:N116"/>
    <mergeCell ref="P116:Q116"/>
    <mergeCell ref="B122:C125"/>
    <mergeCell ref="B143:C146"/>
    <mergeCell ref="B113:D113"/>
    <mergeCell ref="L113:N113"/>
    <mergeCell ref="B114:D114"/>
    <mergeCell ref="L114:N114"/>
    <mergeCell ref="B115:C115"/>
    <mergeCell ref="L115:M115"/>
  </mergeCells>
  <conditionalFormatting sqref="P19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{1AD9BAC5-8982-4AB7-9F75-EC4F2B3202E6}</x14:id>
        </ext>
      </extLst>
    </cfRule>
  </conditionalFormatting>
  <dataValidations disablePrompts="1" count="3">
    <dataValidation type="list" allowBlank="1" showInputMessage="1" showErrorMessage="1" sqref="E15:F15">
      <formula1>"0,1,2,3,4,5,6,7,8,9,10,11,12,13,14,15"</formula1>
    </dataValidation>
    <dataValidation type="list" allowBlank="1" showInputMessage="1" showErrorMessage="1" sqref="L51">
      <formula1>"LINEAR, MÉTODO COLE"</formula1>
    </dataValidation>
    <dataValidation type="list" allowBlank="1" showInputMessage="1" showErrorMessage="1" sqref="F7:H7 T17:V17">
      <formula1>$Q$119:$Q$122</formula1>
    </dataValidation>
  </dataValidations>
  <pageMargins left="0.51181102362204722" right="0.51181102362204722" top="0.78740157480314965" bottom="0.78740157480314965" header="0.31496062992125984" footer="0.31496062992125984"/>
  <pageSetup paperSize="9" scale="50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AD9BAC5-8982-4AB7-9F75-EC4F2B3202E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P19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0">
    <tabColor rgb="FF0070C0"/>
  </sheetPr>
  <dimension ref="A2:V160"/>
  <sheetViews>
    <sheetView tabSelected="1" view="pageBreakPreview" topLeftCell="A39" zoomScale="85" zoomScaleNormal="100" zoomScaleSheetLayoutView="85" workbookViewId="0">
      <selection activeCell="A57" sqref="A57"/>
    </sheetView>
  </sheetViews>
  <sheetFormatPr defaultColWidth="8.85546875" defaultRowHeight="15" x14ac:dyDescent="0.25"/>
  <cols>
    <col min="2" max="2" width="14.140625" customWidth="1"/>
    <col min="3" max="3" width="15.28515625" customWidth="1"/>
    <col min="5" max="5" width="12.42578125" customWidth="1"/>
    <col min="6" max="6" width="13.5703125" customWidth="1"/>
    <col min="7" max="7" width="12.140625" customWidth="1"/>
    <col min="9" max="9" width="10.7109375" customWidth="1"/>
    <col min="10" max="10" width="12.140625" bestFit="1" customWidth="1"/>
    <col min="11" max="11" width="16.42578125" bestFit="1" customWidth="1"/>
    <col min="12" max="12" width="14.42578125" customWidth="1"/>
    <col min="14" max="14" width="6.42578125" customWidth="1"/>
    <col min="15" max="15" width="9" customWidth="1"/>
    <col min="16" max="16" width="10.42578125" customWidth="1"/>
    <col min="17" max="17" width="15.140625" customWidth="1"/>
    <col min="18" max="18" width="14.7109375" bestFit="1" customWidth="1"/>
    <col min="19" max="19" width="19.42578125" bestFit="1" customWidth="1"/>
  </cols>
  <sheetData>
    <row r="2" spans="1:19" x14ac:dyDescent="0.25">
      <c r="C2" s="239" t="s">
        <v>151</v>
      </c>
      <c r="D2" s="240"/>
      <c r="E2" s="240"/>
      <c r="F2" s="240"/>
    </row>
    <row r="3" spans="1:19" x14ac:dyDescent="0.25">
      <c r="C3" s="240"/>
      <c r="D3" s="240"/>
      <c r="E3" s="240"/>
      <c r="F3" s="240"/>
      <c r="H3" s="241" t="s">
        <v>64</v>
      </c>
      <c r="I3" s="239"/>
      <c r="J3" s="239"/>
      <c r="K3" s="239"/>
      <c r="L3" s="239"/>
      <c r="M3" s="239"/>
      <c r="N3" s="239"/>
      <c r="O3" s="239"/>
      <c r="P3" s="239"/>
    </row>
    <row r="4" spans="1:19" x14ac:dyDescent="0.25">
      <c r="C4" s="240"/>
      <c r="D4" s="240"/>
      <c r="E4" s="240"/>
      <c r="F4" s="240"/>
      <c r="H4" s="239"/>
      <c r="I4" s="239"/>
      <c r="J4" s="239"/>
      <c r="K4" s="239"/>
      <c r="L4" s="239"/>
      <c r="M4" s="239"/>
      <c r="N4" s="239"/>
      <c r="O4" s="239"/>
      <c r="P4" s="239"/>
    </row>
    <row r="5" spans="1:19" x14ac:dyDescent="0.25">
      <c r="C5" s="240"/>
      <c r="D5" s="240"/>
      <c r="E5" s="240"/>
      <c r="F5" s="240"/>
      <c r="H5" s="239"/>
      <c r="I5" s="239"/>
      <c r="J5" s="239"/>
      <c r="K5" s="239"/>
      <c r="L5" s="239"/>
      <c r="M5" s="239"/>
      <c r="N5" s="239"/>
      <c r="O5" s="239"/>
      <c r="P5" s="239"/>
    </row>
    <row r="6" spans="1:19" x14ac:dyDescent="0.25">
      <c r="C6" s="240"/>
      <c r="D6" s="240"/>
      <c r="E6" s="240"/>
      <c r="F6" s="240"/>
    </row>
    <row r="7" spans="1:19" ht="21" x14ac:dyDescent="0.35">
      <c r="E7" s="18" t="s">
        <v>80</v>
      </c>
      <c r="F7" s="235" t="s">
        <v>65</v>
      </c>
      <c r="G7" s="235"/>
      <c r="H7" s="235"/>
      <c r="K7" s="242" t="s">
        <v>286</v>
      </c>
      <c r="L7" s="243"/>
      <c r="M7" s="243"/>
      <c r="N7" s="243"/>
    </row>
    <row r="8" spans="1:19" ht="15.75" x14ac:dyDescent="0.25">
      <c r="B8" s="194"/>
      <c r="C8" s="194"/>
      <c r="D8" s="8"/>
      <c r="E8" s="8"/>
      <c r="F8" s="8"/>
      <c r="J8" s="9"/>
    </row>
    <row r="9" spans="1:19" ht="21" x14ac:dyDescent="0.35">
      <c r="A9" s="235" t="s">
        <v>352</v>
      </c>
      <c r="B9" s="235"/>
      <c r="C9" s="235"/>
      <c r="D9" s="235"/>
      <c r="E9" s="235"/>
      <c r="F9" s="235"/>
      <c r="I9" s="244" t="s">
        <v>157</v>
      </c>
      <c r="J9" s="244"/>
      <c r="K9" s="244"/>
      <c r="L9" s="244"/>
      <c r="M9" s="244"/>
      <c r="N9" s="244"/>
      <c r="O9" s="244"/>
      <c r="P9" s="244"/>
      <c r="R9" s="9" t="s">
        <v>155</v>
      </c>
      <c r="S9" s="9" t="s">
        <v>156</v>
      </c>
    </row>
    <row r="10" spans="1:19" x14ac:dyDescent="0.25">
      <c r="R10" s="2">
        <f>K43</f>
        <v>5599.8180783177222</v>
      </c>
      <c r="S10" s="43">
        <f>K45</f>
        <v>6993.0916869577277</v>
      </c>
    </row>
    <row r="11" spans="1:19" ht="17.25" x14ac:dyDescent="0.3">
      <c r="A11" s="236" t="s">
        <v>150</v>
      </c>
      <c r="B11" s="237"/>
      <c r="C11" s="237"/>
      <c r="D11" s="237"/>
      <c r="E11" s="237"/>
      <c r="F11" s="238"/>
      <c r="G11" s="40" t="s">
        <v>0</v>
      </c>
      <c r="K11" s="206" t="s">
        <v>15</v>
      </c>
      <c r="L11" s="206"/>
      <c r="M11" s="206"/>
      <c r="N11" s="206"/>
      <c r="O11" s="161">
        <f>O12+O13</f>
        <v>115.32</v>
      </c>
      <c r="P11" s="47" t="s">
        <v>14</v>
      </c>
      <c r="R11" s="130">
        <f>K65/O18*O14</f>
        <v>9180.1577887111634</v>
      </c>
      <c r="S11" s="130">
        <f>K65/O18*O16</f>
        <v>9956.7871894914988</v>
      </c>
    </row>
    <row r="12" spans="1:19" ht="15.75" x14ac:dyDescent="0.25">
      <c r="A12" s="214" t="s">
        <v>107</v>
      </c>
      <c r="B12" s="215"/>
      <c r="C12" s="215"/>
      <c r="D12" s="48"/>
      <c r="E12" s="218">
        <f>Insumos!$B$4</f>
        <v>531068.38</v>
      </c>
      <c r="F12" s="218"/>
      <c r="G12" s="1"/>
      <c r="K12" s="206" t="s">
        <v>136</v>
      </c>
      <c r="L12" s="206"/>
      <c r="M12" s="206"/>
      <c r="N12" s="206"/>
      <c r="O12" s="150">
        <v>55.32</v>
      </c>
      <c r="P12" s="47" t="s">
        <v>14</v>
      </c>
      <c r="R12" s="2">
        <f>K72/O18*O14</f>
        <v>1029.9195202062497</v>
      </c>
      <c r="S12" s="2">
        <f>K72/O18*O16</f>
        <v>1117.0493711564529</v>
      </c>
    </row>
    <row r="13" spans="1:19" ht="15.75" x14ac:dyDescent="0.25">
      <c r="A13" s="214" t="s">
        <v>285</v>
      </c>
      <c r="B13" s="215"/>
      <c r="C13" s="215"/>
      <c r="D13" s="216"/>
      <c r="E13" s="198">
        <f>'DEPRECIAÇÃO LINEAR'!D15</f>
        <v>10</v>
      </c>
      <c r="F13" s="198"/>
      <c r="K13" s="206" t="s">
        <v>137</v>
      </c>
      <c r="L13" s="206"/>
      <c r="M13" s="206"/>
      <c r="N13" s="206"/>
      <c r="O13" s="150">
        <v>60</v>
      </c>
      <c r="P13" s="47" t="s">
        <v>14</v>
      </c>
      <c r="R13" s="2">
        <f>K79/O18*O14</f>
        <v>1538.8198387065218</v>
      </c>
      <c r="S13" s="2">
        <f>K79/O18*O16</f>
        <v>1669.0019942587005</v>
      </c>
    </row>
    <row r="14" spans="1:19" ht="15" customHeight="1" x14ac:dyDescent="0.25">
      <c r="A14" s="214" t="s">
        <v>23</v>
      </c>
      <c r="B14" s="215"/>
      <c r="C14" s="215"/>
      <c r="D14" s="216"/>
      <c r="E14" s="219">
        <v>2026</v>
      </c>
      <c r="F14" s="220"/>
      <c r="K14" s="223" t="s">
        <v>138</v>
      </c>
      <c r="L14" s="223"/>
      <c r="M14" s="223"/>
      <c r="N14" s="223"/>
      <c r="O14" s="232">
        <f>O12*21</f>
        <v>1161.72</v>
      </c>
      <c r="P14" s="234" t="s">
        <v>14</v>
      </c>
      <c r="R14" s="2">
        <f>SUM(R10:R13)</f>
        <v>17348.715225941658</v>
      </c>
      <c r="S14" s="2">
        <f>SUM(S10:S13)</f>
        <v>19735.930241864378</v>
      </c>
    </row>
    <row r="15" spans="1:19" ht="15.75" customHeight="1" x14ac:dyDescent="0.25">
      <c r="A15" s="49" t="s">
        <v>79</v>
      </c>
      <c r="B15" s="48"/>
      <c r="C15" s="48"/>
      <c r="D15" s="48"/>
      <c r="E15" s="198">
        <v>0</v>
      </c>
      <c r="F15" s="198"/>
      <c r="G15" s="41" t="s">
        <v>128</v>
      </c>
      <c r="I15" s="28"/>
      <c r="J15" s="28"/>
      <c r="K15" s="223"/>
      <c r="L15" s="223"/>
      <c r="M15" s="223"/>
      <c r="N15" s="223"/>
      <c r="O15" s="233"/>
      <c r="P15" s="234"/>
      <c r="R15" s="31">
        <f>IFERROR(R14/O14,0)</f>
        <v>14.933645995542522</v>
      </c>
      <c r="S15" s="31">
        <f>IFERROR(S14/O16,0)</f>
        <v>15.663436699892364</v>
      </c>
    </row>
    <row r="16" spans="1:19" ht="15" customHeight="1" x14ac:dyDescent="0.25">
      <c r="A16" s="214" t="s">
        <v>84</v>
      </c>
      <c r="B16" s="215"/>
      <c r="C16" s="215"/>
      <c r="D16" s="215"/>
      <c r="E16" s="198" t="str">
        <f>IF($F$7=$D$95,F104,IF($F$7=$D$107,F116,IF($F$7=$N$95,Q104,IF($F$7=$O$107,P116,""))))</f>
        <v>ATÉ 59 ALUNOS</v>
      </c>
      <c r="F16" s="198"/>
      <c r="I16" s="28"/>
      <c r="J16" s="28"/>
      <c r="K16" s="223" t="s">
        <v>139</v>
      </c>
      <c r="L16" s="223"/>
      <c r="M16" s="223"/>
      <c r="N16" s="223"/>
      <c r="O16" s="232">
        <f>O13*21</f>
        <v>1260</v>
      </c>
      <c r="P16" s="234" t="s">
        <v>14</v>
      </c>
    </row>
    <row r="17" spans="1:22" ht="15" customHeight="1" x14ac:dyDescent="0.35">
      <c r="I17" s="28"/>
      <c r="J17" s="28"/>
      <c r="K17" s="223"/>
      <c r="L17" s="223"/>
      <c r="M17" s="223"/>
      <c r="N17" s="223"/>
      <c r="O17" s="233"/>
      <c r="P17" s="234"/>
      <c r="R17" s="2">
        <f>R14+S14</f>
        <v>37084.64546780604</v>
      </c>
      <c r="T17" s="235"/>
      <c r="U17" s="235"/>
      <c r="V17" s="235"/>
    </row>
    <row r="18" spans="1:22" ht="15" customHeight="1" x14ac:dyDescent="0.25">
      <c r="I18" s="28"/>
      <c r="J18" s="28"/>
      <c r="K18" s="223" t="s">
        <v>140</v>
      </c>
      <c r="L18" s="223"/>
      <c r="M18" s="223"/>
      <c r="N18" s="223"/>
      <c r="O18" s="46">
        <f>O16+O14</f>
        <v>2421.7200000000003</v>
      </c>
      <c r="P18" s="47" t="s">
        <v>14</v>
      </c>
      <c r="R18" s="2">
        <f>R17/O18</f>
        <v>15.313349795932657</v>
      </c>
    </row>
    <row r="19" spans="1:22" ht="15.75" customHeight="1" x14ac:dyDescent="0.3">
      <c r="A19" s="224" t="s">
        <v>1</v>
      </c>
      <c r="B19" s="225"/>
      <c r="C19" s="225"/>
      <c r="D19" s="225"/>
      <c r="E19" s="225"/>
      <c r="F19" s="225"/>
      <c r="I19" s="29"/>
      <c r="J19" s="29"/>
      <c r="K19" s="29"/>
      <c r="L19" s="29"/>
      <c r="M19" s="29"/>
    </row>
    <row r="20" spans="1:22" ht="15" customHeight="1" thickBot="1" x14ac:dyDescent="0.3">
      <c r="A20" s="206" t="s">
        <v>106</v>
      </c>
      <c r="B20" s="206"/>
      <c r="C20" s="206"/>
      <c r="D20" s="206"/>
      <c r="E20" s="206"/>
      <c r="F20" s="206"/>
      <c r="I20" s="28"/>
      <c r="J20" s="28"/>
      <c r="K20" s="28"/>
      <c r="L20" s="28"/>
      <c r="M20" s="28"/>
      <c r="O20" s="93">
        <f>K90</f>
        <v>15.313349795932657</v>
      </c>
      <c r="R20" s="93">
        <f>K90</f>
        <v>15.313349795932657</v>
      </c>
    </row>
    <row r="21" spans="1:22" x14ac:dyDescent="0.25">
      <c r="H21" s="245" t="s">
        <v>299</v>
      </c>
      <c r="I21" s="246"/>
      <c r="J21" s="246"/>
      <c r="K21" s="246"/>
      <c r="L21" s="246"/>
      <c r="M21" s="246"/>
      <c r="N21" s="247"/>
      <c r="O21" s="2"/>
    </row>
    <row r="22" spans="1:22" ht="15.75" thickBot="1" x14ac:dyDescent="0.3">
      <c r="H22" s="248"/>
      <c r="I22" s="249"/>
      <c r="J22" s="249"/>
      <c r="K22" s="249"/>
      <c r="L22" s="249"/>
      <c r="M22" s="249"/>
      <c r="N22" s="250"/>
    </row>
    <row r="23" spans="1:22" ht="17.25" x14ac:dyDescent="0.3">
      <c r="A23" s="224" t="s">
        <v>2</v>
      </c>
      <c r="B23" s="225"/>
      <c r="C23" s="225"/>
      <c r="D23" s="225"/>
      <c r="E23" s="225"/>
      <c r="F23" s="225"/>
      <c r="L23" s="2"/>
    </row>
    <row r="24" spans="1:22" ht="15.75" x14ac:dyDescent="0.25">
      <c r="A24" s="214" t="s">
        <v>11</v>
      </c>
      <c r="B24" s="215"/>
      <c r="C24" s="215"/>
      <c r="D24" s="215"/>
      <c r="E24" s="198">
        <f>IF($F$7=$D$95,F100,IF($F$7=$D$107,F112,IF($F$7=$N$95,Q100,IF($F$7=$O$107,P112,""))))</f>
        <v>6</v>
      </c>
      <c r="F24" s="198"/>
    </row>
    <row r="25" spans="1:22" ht="15.75" x14ac:dyDescent="0.25">
      <c r="A25" s="214" t="s">
        <v>9</v>
      </c>
      <c r="B25" s="215"/>
      <c r="C25" s="215"/>
      <c r="D25" s="216"/>
      <c r="E25" s="218">
        <f>Insumos!$B$5</f>
        <v>2453.2399999999998</v>
      </c>
      <c r="F25" s="218"/>
    </row>
    <row r="26" spans="1:22" ht="15.75" x14ac:dyDescent="0.25">
      <c r="A26" s="214" t="s">
        <v>147</v>
      </c>
      <c r="B26" s="215"/>
      <c r="C26" s="215"/>
      <c r="D26" s="216"/>
      <c r="E26" s="219">
        <v>2</v>
      </c>
      <c r="F26" s="220"/>
    </row>
    <row r="27" spans="1:22" ht="15.75" x14ac:dyDescent="0.25">
      <c r="A27" s="214" t="s">
        <v>148</v>
      </c>
      <c r="B27" s="215"/>
      <c r="C27" s="215"/>
      <c r="D27" s="216"/>
      <c r="E27" s="221">
        <f>Insumos!$B$6</f>
        <v>975.83</v>
      </c>
      <c r="F27" s="222"/>
    </row>
    <row r="28" spans="1:22" ht="15.75" x14ac:dyDescent="0.25">
      <c r="A28" s="214" t="s">
        <v>149</v>
      </c>
      <c r="B28" s="215"/>
      <c r="C28" s="215"/>
      <c r="D28" s="216"/>
      <c r="E28" s="217">
        <v>100000</v>
      </c>
      <c r="F28" s="217"/>
    </row>
    <row r="31" spans="1:22" ht="15.75" x14ac:dyDescent="0.25">
      <c r="A31" s="191" t="s">
        <v>3</v>
      </c>
      <c r="B31" s="192"/>
      <c r="C31" s="192"/>
      <c r="D31" s="192"/>
      <c r="E31" s="192"/>
      <c r="F31" s="192"/>
    </row>
    <row r="32" spans="1:22" ht="15.75" x14ac:dyDescent="0.25">
      <c r="A32" s="214" t="s">
        <v>19</v>
      </c>
      <c r="B32" s="215"/>
      <c r="C32" s="215"/>
      <c r="D32" s="216"/>
      <c r="E32" s="218">
        <f>Insumos!$B$7</f>
        <v>7.6</v>
      </c>
      <c r="F32" s="218"/>
    </row>
    <row r="33" spans="1:14" ht="15.75" x14ac:dyDescent="0.25">
      <c r="A33" s="214" t="s">
        <v>17</v>
      </c>
      <c r="B33" s="215"/>
      <c r="C33" s="215"/>
      <c r="D33" s="216"/>
      <c r="E33" s="46">
        <f>IF($F$7=$D$95,G103,IF($F$7=$D$107,G115,IF($F$7=$N$95,Q103,IF($F$7=$O$107,Q115,""))))</f>
        <v>2.6</v>
      </c>
      <c r="F33" s="50" t="s">
        <v>18</v>
      </c>
    </row>
    <row r="36" spans="1:14" ht="17.25" x14ac:dyDescent="0.3">
      <c r="A36" s="208" t="s">
        <v>20</v>
      </c>
      <c r="B36" s="209"/>
      <c r="C36" s="209"/>
      <c r="D36" s="209"/>
      <c r="E36" s="209"/>
    </row>
    <row r="37" spans="1:14" x14ac:dyDescent="0.25">
      <c r="B37" s="210"/>
      <c r="C37" s="210"/>
      <c r="D37" s="211"/>
      <c r="E37" s="212" t="s">
        <v>4</v>
      </c>
      <c r="F37" s="213"/>
    </row>
    <row r="38" spans="1:14" ht="15.75" x14ac:dyDescent="0.25">
      <c r="A38" s="46" t="s">
        <v>346</v>
      </c>
      <c r="B38" s="214" t="s">
        <v>52</v>
      </c>
      <c r="C38" s="215"/>
      <c r="D38" s="216"/>
      <c r="E38" s="46">
        <f>1/E33</f>
        <v>0.38461538461538458</v>
      </c>
      <c r="F38" s="7" t="s">
        <v>5</v>
      </c>
      <c r="G38" s="7"/>
      <c r="H38" s="7"/>
      <c r="I38" s="7"/>
      <c r="J38" s="7"/>
      <c r="K38" s="58">
        <f>E32*E38</f>
        <v>2.9230769230769225</v>
      </c>
      <c r="L38" s="51" t="s">
        <v>13</v>
      </c>
      <c r="N38" s="2"/>
    </row>
    <row r="39" spans="1:14" ht="15.75" x14ac:dyDescent="0.25">
      <c r="A39" s="46" t="s">
        <v>6</v>
      </c>
      <c r="B39" s="206" t="s">
        <v>152</v>
      </c>
      <c r="C39" s="206"/>
      <c r="D39" s="206"/>
      <c r="E39" s="46">
        <v>0.04</v>
      </c>
      <c r="F39" s="7" t="s">
        <v>5</v>
      </c>
      <c r="G39" s="7"/>
      <c r="H39" s="7"/>
      <c r="I39" s="7"/>
      <c r="J39" s="7"/>
      <c r="K39" s="58">
        <f>E39*E32</f>
        <v>0.30399999999999999</v>
      </c>
      <c r="L39" s="51" t="s">
        <v>13</v>
      </c>
    </row>
    <row r="40" spans="1:14" ht="15.75" x14ac:dyDescent="0.25">
      <c r="A40" s="46" t="s">
        <v>7</v>
      </c>
      <c r="B40" s="206" t="s">
        <v>8</v>
      </c>
      <c r="C40" s="206"/>
      <c r="D40" s="206"/>
      <c r="E40" s="46"/>
      <c r="F40" s="7"/>
      <c r="G40" s="7"/>
      <c r="H40" s="7"/>
      <c r="I40" s="7"/>
      <c r="J40" s="7"/>
      <c r="K40" s="58">
        <f>((E25*E24)+(E26*E24*E27))/E28</f>
        <v>0.26429400000000003</v>
      </c>
      <c r="L40" s="51" t="s">
        <v>13</v>
      </c>
    </row>
    <row r="41" spans="1:14" ht="15.75" x14ac:dyDescent="0.25">
      <c r="A41" s="46" t="s">
        <v>12</v>
      </c>
      <c r="B41" s="206" t="s">
        <v>153</v>
      </c>
      <c r="C41" s="206"/>
      <c r="D41" s="206"/>
      <c r="E41" s="70">
        <v>3.0000000000000001E-6</v>
      </c>
      <c r="F41" s="193" t="s">
        <v>10</v>
      </c>
      <c r="G41" s="193"/>
      <c r="H41" s="193"/>
      <c r="I41" s="7"/>
      <c r="J41" s="7"/>
      <c r="K41" s="58">
        <f>(E41*E12)-(K40)</f>
        <v>1.32891114</v>
      </c>
      <c r="L41" s="51" t="s">
        <v>13</v>
      </c>
    </row>
    <row r="42" spans="1:14" ht="15.75" x14ac:dyDescent="0.25">
      <c r="A42" s="207"/>
      <c r="B42" s="207"/>
      <c r="C42" s="207"/>
      <c r="D42" s="207"/>
      <c r="E42" s="207"/>
      <c r="F42" s="7"/>
      <c r="G42" s="7"/>
      <c r="H42" s="7"/>
      <c r="I42" s="7"/>
      <c r="J42" s="7"/>
      <c r="K42" s="58">
        <f>SUM(K38:K41)</f>
        <v>4.8202820630769221</v>
      </c>
      <c r="L42" s="51" t="s">
        <v>13</v>
      </c>
    </row>
    <row r="43" spans="1:14" ht="21" customHeight="1" x14ac:dyDescent="0.25">
      <c r="A43" s="200" t="s">
        <v>144</v>
      </c>
      <c r="B43" s="200"/>
      <c r="C43" s="200"/>
      <c r="D43" s="200"/>
      <c r="E43" s="200"/>
      <c r="F43" s="200"/>
      <c r="G43" s="200"/>
      <c r="H43" s="200"/>
      <c r="I43" s="200"/>
      <c r="J43" s="200"/>
      <c r="K43" s="68">
        <f>K42*O14</f>
        <v>5599.8180783177222</v>
      </c>
      <c r="L43" s="52" t="s">
        <v>16</v>
      </c>
    </row>
    <row r="45" spans="1:14" ht="18.75" x14ac:dyDescent="0.3">
      <c r="A45" s="190" t="s">
        <v>145</v>
      </c>
      <c r="B45" s="190"/>
      <c r="C45" s="190"/>
      <c r="D45" s="190"/>
      <c r="E45" s="190"/>
      <c r="F45" s="190"/>
      <c r="G45" s="190"/>
      <c r="H45" s="190"/>
      <c r="I45" s="190"/>
      <c r="J45" s="190"/>
      <c r="K45" s="65">
        <f>K42*O16*1.1514</f>
        <v>6993.0916869577277</v>
      </c>
      <c r="L45" s="53" t="s">
        <v>16</v>
      </c>
    </row>
    <row r="46" spans="1:14" ht="15.75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</row>
    <row r="47" spans="1:14" ht="18.75" x14ac:dyDescent="0.3">
      <c r="A47" s="190" t="s">
        <v>146</v>
      </c>
      <c r="B47" s="190"/>
      <c r="C47" s="190"/>
      <c r="D47" s="190"/>
      <c r="E47" s="190"/>
      <c r="F47" s="190"/>
      <c r="G47" s="190"/>
      <c r="H47" s="190"/>
      <c r="I47" s="190"/>
      <c r="J47" s="190"/>
      <c r="K47" s="65">
        <f>K43+K45</f>
        <v>12592.90976527545</v>
      </c>
      <c r="L47" s="54" t="s">
        <v>16</v>
      </c>
    </row>
    <row r="49" spans="1:12" ht="15.75" x14ac:dyDescent="0.25">
      <c r="A49" s="197" t="s">
        <v>21</v>
      </c>
      <c r="B49" s="204"/>
      <c r="C49" s="204"/>
      <c r="D49" s="204"/>
      <c r="E49" s="204"/>
      <c r="F49" s="7"/>
      <c r="G49" s="7"/>
      <c r="H49" s="7"/>
      <c r="I49" s="7"/>
      <c r="J49" s="7"/>
      <c r="K49" s="7"/>
      <c r="L49" s="7"/>
    </row>
    <row r="50" spans="1:12" ht="15.75" x14ac:dyDescent="0.25">
      <c r="A50" s="3"/>
      <c r="B50" s="45"/>
      <c r="C50" s="45"/>
      <c r="D50" s="45"/>
      <c r="E50" s="45"/>
      <c r="F50" s="7"/>
      <c r="G50" s="7"/>
      <c r="H50" s="205" t="s">
        <v>25</v>
      </c>
      <c r="I50" s="205"/>
      <c r="J50" s="7"/>
      <c r="K50" s="7"/>
      <c r="L50" s="7"/>
    </row>
    <row r="51" spans="1:12" ht="15.75" x14ac:dyDescent="0.25">
      <c r="A51" s="7" t="s">
        <v>22</v>
      </c>
      <c r="B51" s="7"/>
      <c r="C51" s="193" t="s">
        <v>24</v>
      </c>
      <c r="D51" s="193"/>
      <c r="E51" s="193"/>
      <c r="F51" s="193"/>
      <c r="G51" s="7"/>
      <c r="H51" s="195"/>
      <c r="I51" s="195"/>
      <c r="J51" s="58"/>
      <c r="K51" s="129">
        <f>IF(L51="LINEAR",'DEPRECIAÇÃO LINEAR'!H23,(VLOOKUP(E15,'DEPRECIAÇÃO LINEAR'!W12:AM25,17,0)))</f>
        <v>3983.0128500000005</v>
      </c>
      <c r="L51" s="55" t="s">
        <v>130</v>
      </c>
    </row>
    <row r="52" spans="1:12" ht="15.75" x14ac:dyDescent="0.25">
      <c r="A52" s="7" t="s">
        <v>26</v>
      </c>
      <c r="B52" s="7"/>
      <c r="C52" s="193" t="s">
        <v>27</v>
      </c>
      <c r="D52" s="193"/>
      <c r="E52" s="193"/>
      <c r="F52" s="193"/>
      <c r="G52" s="7"/>
      <c r="H52" s="7"/>
      <c r="I52" s="7"/>
      <c r="J52" s="58"/>
      <c r="K52" s="58"/>
      <c r="L52" s="7"/>
    </row>
    <row r="53" spans="1:12" ht="15.75" x14ac:dyDescent="0.25">
      <c r="A53" s="7"/>
      <c r="B53" s="7" t="s">
        <v>31</v>
      </c>
      <c r="C53" s="193" t="s">
        <v>28</v>
      </c>
      <c r="D53" s="193"/>
      <c r="E53" s="193"/>
      <c r="F53" s="193"/>
      <c r="G53" s="7"/>
      <c r="H53" s="7"/>
      <c r="I53" s="7"/>
      <c r="J53" s="58"/>
      <c r="K53" s="58">
        <f>'Motorista de Veiculo Pesado'!E90</f>
        <v>8468.4608078400015</v>
      </c>
      <c r="L53" s="7"/>
    </row>
    <row r="54" spans="1:12" ht="15.75" x14ac:dyDescent="0.25">
      <c r="A54" s="7"/>
      <c r="B54" s="7" t="s">
        <v>32</v>
      </c>
      <c r="C54" s="193" t="s">
        <v>29</v>
      </c>
      <c r="D54" s="193"/>
      <c r="E54" s="193"/>
      <c r="F54" s="193"/>
      <c r="G54" s="7"/>
      <c r="H54" s="7"/>
      <c r="I54" s="7"/>
      <c r="J54" s="58"/>
      <c r="K54" s="58">
        <f>'Monitor de Transporte Escolar'!E90</f>
        <v>4485.726463695999</v>
      </c>
      <c r="L54" s="7"/>
    </row>
    <row r="55" spans="1:12" ht="15.75" x14ac:dyDescent="0.25">
      <c r="A55" s="7" t="s">
        <v>30</v>
      </c>
      <c r="B55" s="7"/>
      <c r="C55" s="193" t="s">
        <v>34</v>
      </c>
      <c r="D55" s="193"/>
      <c r="E55" s="193"/>
      <c r="F55" s="193"/>
      <c r="G55" s="7"/>
      <c r="H55" s="7"/>
      <c r="I55" s="7"/>
      <c r="J55" s="58"/>
      <c r="K55" s="58"/>
      <c r="L55" s="56"/>
    </row>
    <row r="56" spans="1:12" ht="15.75" x14ac:dyDescent="0.25">
      <c r="A56" s="7"/>
      <c r="B56" s="7" t="s">
        <v>33</v>
      </c>
      <c r="C56" s="7" t="s">
        <v>35</v>
      </c>
      <c r="D56" s="7"/>
      <c r="E56" s="7"/>
      <c r="F56" s="7"/>
      <c r="G56" s="7"/>
      <c r="H56" s="7"/>
      <c r="I56" s="7"/>
      <c r="J56" s="58">
        <f>1/100*E12</f>
        <v>5310.6837999999998</v>
      </c>
      <c r="K56" s="58">
        <f>J56/12</f>
        <v>442.55698333333333</v>
      </c>
      <c r="L56" s="7"/>
    </row>
    <row r="57" spans="1:12" ht="15.75" x14ac:dyDescent="0.25">
      <c r="A57" s="7"/>
      <c r="B57" s="7" t="s">
        <v>36</v>
      </c>
      <c r="C57" s="7" t="s">
        <v>37</v>
      </c>
      <c r="D57" s="7"/>
      <c r="E57" s="7"/>
      <c r="F57" s="7"/>
      <c r="G57" s="7"/>
      <c r="H57" s="7"/>
      <c r="I57" s="7"/>
      <c r="J57" s="58">
        <v>230.25</v>
      </c>
      <c r="K57" s="58">
        <f>J57/12</f>
        <v>19.1875</v>
      </c>
      <c r="L57" s="7"/>
    </row>
    <row r="58" spans="1:12" ht="15.75" x14ac:dyDescent="0.25">
      <c r="A58" s="7"/>
      <c r="B58" s="7" t="s">
        <v>38</v>
      </c>
      <c r="C58" s="193" t="s">
        <v>39</v>
      </c>
      <c r="D58" s="193"/>
      <c r="E58" s="193"/>
      <c r="F58" s="193"/>
      <c r="G58" s="7"/>
      <c r="H58" s="7"/>
      <c r="I58" s="7"/>
      <c r="J58" s="58">
        <v>161.80000000000001</v>
      </c>
      <c r="K58" s="58">
        <f>J58/12</f>
        <v>13.483333333333334</v>
      </c>
      <c r="L58" s="7"/>
    </row>
    <row r="59" spans="1:12" ht="15.75" x14ac:dyDescent="0.25">
      <c r="A59" s="7" t="s">
        <v>41</v>
      </c>
      <c r="B59" s="7"/>
      <c r="C59" s="7" t="s">
        <v>40</v>
      </c>
      <c r="D59" s="7"/>
      <c r="E59" s="7"/>
      <c r="F59" s="7"/>
      <c r="G59" s="7"/>
      <c r="H59" s="7"/>
      <c r="I59" s="7"/>
      <c r="J59" s="58">
        <v>0</v>
      </c>
      <c r="K59" s="58">
        <f>J59/12</f>
        <v>0</v>
      </c>
      <c r="L59" s="7"/>
    </row>
    <row r="60" spans="1:12" ht="15.75" x14ac:dyDescent="0.25">
      <c r="A60" s="7" t="s">
        <v>57</v>
      </c>
      <c r="B60" s="7"/>
      <c r="C60" s="193" t="s">
        <v>58</v>
      </c>
      <c r="D60" s="193"/>
      <c r="E60" s="193"/>
      <c r="F60" s="193"/>
      <c r="G60" s="193"/>
      <c r="H60" s="7"/>
      <c r="I60" s="7"/>
      <c r="J60" s="58">
        <f>Insumos!$B$8</f>
        <v>350.88</v>
      </c>
      <c r="K60" s="58">
        <f>4*J60</f>
        <v>1403.52</v>
      </c>
      <c r="L60" s="7"/>
    </row>
    <row r="61" spans="1:12" ht="15.75" x14ac:dyDescent="0.25">
      <c r="A61" s="7" t="s">
        <v>60</v>
      </c>
      <c r="B61" s="7"/>
      <c r="C61" s="45" t="s">
        <v>63</v>
      </c>
      <c r="D61" s="45"/>
      <c r="E61" s="45"/>
      <c r="F61" s="45"/>
      <c r="G61" s="45"/>
      <c r="H61" s="7"/>
      <c r="I61" s="7"/>
      <c r="J61" s="58">
        <f>Insumos!$B$9</f>
        <v>2680.95</v>
      </c>
      <c r="K61" s="58">
        <f>J61/12</f>
        <v>223.41249999999999</v>
      </c>
      <c r="L61" s="7"/>
    </row>
    <row r="62" spans="1:12" ht="15.75" x14ac:dyDescent="0.25">
      <c r="A62" s="7" t="s">
        <v>61</v>
      </c>
      <c r="B62" s="7"/>
      <c r="C62" s="193" t="s">
        <v>62</v>
      </c>
      <c r="D62" s="193"/>
      <c r="E62" s="193"/>
      <c r="F62" s="45"/>
      <c r="G62" s="45"/>
      <c r="H62" s="7"/>
      <c r="I62" s="7"/>
      <c r="J62" s="60">
        <f>Insumos!$B$10</f>
        <v>932.23</v>
      </c>
      <c r="K62" s="58">
        <f>J62/12</f>
        <v>77.685833333333335</v>
      </c>
      <c r="L62" s="7"/>
    </row>
    <row r="63" spans="1:12" ht="15.75" x14ac:dyDescent="0.25">
      <c r="A63" s="7" t="s">
        <v>142</v>
      </c>
      <c r="B63" s="7"/>
      <c r="C63" s="203" t="s">
        <v>143</v>
      </c>
      <c r="D63" s="203"/>
      <c r="E63" s="203"/>
      <c r="F63" s="203"/>
      <c r="G63" s="164"/>
      <c r="H63" s="7"/>
      <c r="I63" s="7"/>
      <c r="J63" s="60">
        <f>Insumos!$B$11</f>
        <v>471.82</v>
      </c>
      <c r="K63" s="72">
        <f>J63/24</f>
        <v>19.659166666666668</v>
      </c>
      <c r="L63" s="7"/>
    </row>
    <row r="64" spans="1:12" ht="15.75" x14ac:dyDescent="0.25">
      <c r="A64" s="7" t="s">
        <v>340</v>
      </c>
      <c r="B64" s="7"/>
      <c r="C64" s="165" t="s">
        <v>343</v>
      </c>
      <c r="D64" s="165"/>
      <c r="E64" s="165"/>
      <c r="F64" s="165"/>
      <c r="G64" s="164"/>
      <c r="H64" s="7"/>
      <c r="I64" s="7"/>
      <c r="J64" s="60">
        <f>Insumos!$B$12</f>
        <v>14.372399999999997</v>
      </c>
      <c r="K64" s="72">
        <f>J64/60</f>
        <v>0.23953999999999995</v>
      </c>
      <c r="L64" s="7"/>
    </row>
    <row r="65" spans="1:13" ht="20.25" customHeight="1" x14ac:dyDescent="0.25">
      <c r="A65" s="200" t="s">
        <v>43</v>
      </c>
      <c r="B65" s="200"/>
      <c r="C65" s="200"/>
      <c r="D65" s="200"/>
      <c r="E65" s="200"/>
      <c r="F65" s="200"/>
      <c r="G65" s="200"/>
      <c r="H65" s="200"/>
      <c r="I65" s="200"/>
      <c r="J65" s="200"/>
      <c r="K65" s="67">
        <f>SUM(K51:K64)</f>
        <v>19136.944978202664</v>
      </c>
      <c r="L65" s="57" t="s">
        <v>16</v>
      </c>
      <c r="M65" s="4"/>
    </row>
    <row r="67" spans="1:13" ht="19.5" customHeight="1" x14ac:dyDescent="0.3">
      <c r="A67" s="201" t="s">
        <v>132</v>
      </c>
      <c r="B67" s="201"/>
      <c r="C67" s="201"/>
      <c r="D67" s="201"/>
      <c r="E67" s="201"/>
      <c r="F67" s="201"/>
      <c r="G67" s="201"/>
      <c r="H67" s="201"/>
      <c r="I67" s="201"/>
      <c r="K67" s="66">
        <f>K47+K65</f>
        <v>31729.854743478114</v>
      </c>
    </row>
    <row r="69" spans="1:13" ht="15.75" x14ac:dyDescent="0.25">
      <c r="A69" s="197" t="s">
        <v>133</v>
      </c>
      <c r="B69" s="197"/>
      <c r="C69" s="197"/>
      <c r="D69" s="197"/>
      <c r="E69" s="197"/>
      <c r="I69" s="202" t="s">
        <v>55</v>
      </c>
      <c r="J69" s="202"/>
    </row>
    <row r="70" spans="1:13" ht="15.75" x14ac:dyDescent="0.25">
      <c r="A70" s="7" t="s">
        <v>341</v>
      </c>
      <c r="B70" s="7"/>
      <c r="C70" s="193" t="s">
        <v>54</v>
      </c>
      <c r="D70" s="193"/>
      <c r="E70" s="193"/>
      <c r="F70" s="193"/>
      <c r="G70" s="7"/>
      <c r="H70" s="7"/>
      <c r="I70" s="168">
        <f>Insumos!$B$15</f>
        <v>2.6599999999999999E-2</v>
      </c>
      <c r="J70" s="7"/>
      <c r="K70" s="58">
        <f>I70*K67</f>
        <v>844.01413617651781</v>
      </c>
      <c r="L70" s="7"/>
    </row>
    <row r="71" spans="1:13" ht="15.75" x14ac:dyDescent="0.25">
      <c r="A71" s="7" t="s">
        <v>342</v>
      </c>
      <c r="B71" s="7"/>
      <c r="C71" s="193" t="s">
        <v>59</v>
      </c>
      <c r="D71" s="193"/>
      <c r="E71" s="193"/>
      <c r="F71" s="193"/>
      <c r="G71" s="7"/>
      <c r="H71" s="7"/>
      <c r="I71" s="169">
        <f>Insumos!$B$16</f>
        <v>0.04</v>
      </c>
      <c r="J71" s="7"/>
      <c r="K71" s="58">
        <f>I71*(K67+K70)</f>
        <v>1302.9547551861851</v>
      </c>
      <c r="L71" s="7"/>
    </row>
    <row r="72" spans="1:13" ht="18.75" x14ac:dyDescent="0.3">
      <c r="A72" s="7"/>
      <c r="B72" s="7"/>
      <c r="C72" s="7"/>
      <c r="D72" s="7"/>
      <c r="E72" s="7"/>
      <c r="F72" s="7"/>
      <c r="G72" s="7"/>
      <c r="H72" s="7"/>
      <c r="I72" s="7"/>
      <c r="J72" s="61" t="s">
        <v>131</v>
      </c>
      <c r="K72" s="65">
        <f>SUM(K70:K71)</f>
        <v>2146.9688913627028</v>
      </c>
      <c r="L72" s="54" t="s">
        <v>16</v>
      </c>
    </row>
    <row r="74" spans="1:13" ht="15.75" x14ac:dyDescent="0.25">
      <c r="A74" s="197" t="s">
        <v>134</v>
      </c>
      <c r="B74" s="197"/>
      <c r="C74" s="197"/>
      <c r="D74" s="197"/>
      <c r="E74" s="197"/>
      <c r="F74" s="7"/>
      <c r="G74" s="7"/>
      <c r="H74" s="7"/>
      <c r="I74" s="7"/>
      <c r="J74" s="7"/>
      <c r="K74" s="7"/>
      <c r="L74" s="7"/>
    </row>
    <row r="75" spans="1:13" ht="15.75" x14ac:dyDescent="0.25">
      <c r="A75" s="193" t="s">
        <v>42</v>
      </c>
      <c r="B75" s="193"/>
      <c r="C75" s="193"/>
      <c r="D75" s="193"/>
      <c r="E75" s="193"/>
      <c r="F75" s="193"/>
      <c r="G75" s="7"/>
      <c r="H75" s="7"/>
      <c r="I75" s="198" t="s">
        <v>47</v>
      </c>
      <c r="J75" s="198"/>
      <c r="K75" s="51">
        <f>K67+K72</f>
        <v>33876.823634840817</v>
      </c>
      <c r="L75" s="7"/>
    </row>
    <row r="76" spans="1:13" ht="15.75" x14ac:dyDescent="0.25">
      <c r="A76" s="7" t="s">
        <v>53</v>
      </c>
      <c r="C76" s="7" t="s">
        <v>44</v>
      </c>
      <c r="D76" s="7"/>
      <c r="E76" s="7"/>
      <c r="F76" s="7"/>
      <c r="G76" s="7"/>
      <c r="H76" s="7"/>
      <c r="I76" s="199">
        <f>Insumos!$B$18</f>
        <v>0.05</v>
      </c>
      <c r="J76" s="199"/>
      <c r="K76" s="51">
        <f>$K$75/(1-(SUM($I$76:$J$78)))*I76</f>
        <v>1854.232273390302</v>
      </c>
      <c r="L76" s="7"/>
    </row>
    <row r="77" spans="1:13" ht="15.75" x14ac:dyDescent="0.25">
      <c r="A77" s="7" t="s">
        <v>344</v>
      </c>
      <c r="C77" s="7" t="s">
        <v>45</v>
      </c>
      <c r="D77" s="7"/>
      <c r="E77" s="7"/>
      <c r="F77" s="7"/>
      <c r="G77" s="7"/>
      <c r="H77" s="7"/>
      <c r="I77" s="199">
        <f>Insumos!$B$19</f>
        <v>6.4999999999999997E-3</v>
      </c>
      <c r="J77" s="199"/>
      <c r="K77" s="51">
        <f>$K$75/(1-(SUM($I$76:$J$78)))*I77</f>
        <v>241.05019554073925</v>
      </c>
      <c r="L77" s="7"/>
    </row>
    <row r="78" spans="1:13" ht="15.75" x14ac:dyDescent="0.25">
      <c r="A78" s="7" t="s">
        <v>345</v>
      </c>
      <c r="C78" s="7" t="s">
        <v>46</v>
      </c>
      <c r="D78" s="7"/>
      <c r="E78" s="7"/>
      <c r="F78" s="7"/>
      <c r="G78" s="7"/>
      <c r="H78" s="7"/>
      <c r="I78" s="199">
        <f>Insumos!$B$20</f>
        <v>0.03</v>
      </c>
      <c r="J78" s="199"/>
      <c r="K78" s="51">
        <f>$K$75/(1-(SUM($I$76:$J$78)))*I78</f>
        <v>1112.5393640341811</v>
      </c>
      <c r="L78" s="7"/>
    </row>
    <row r="79" spans="1:13" ht="21" customHeight="1" x14ac:dyDescent="0.3">
      <c r="A79" s="190" t="s">
        <v>48</v>
      </c>
      <c r="B79" s="190"/>
      <c r="C79" s="190"/>
      <c r="D79" s="190"/>
      <c r="E79" s="190"/>
      <c r="F79" s="190"/>
      <c r="G79" s="190"/>
      <c r="H79" s="190"/>
      <c r="I79" s="190"/>
      <c r="J79" s="190"/>
      <c r="K79" s="64">
        <f>SUM(K76:K78)</f>
        <v>3207.8218329652227</v>
      </c>
      <c r="L79" s="54" t="s">
        <v>16</v>
      </c>
    </row>
    <row r="81" spans="1:20" x14ac:dyDescent="0.25">
      <c r="C81" s="5"/>
      <c r="D81" s="5"/>
      <c r="E81" s="5"/>
      <c r="F81" s="5"/>
      <c r="K81" s="2"/>
    </row>
    <row r="82" spans="1:20" ht="15.75" x14ac:dyDescent="0.25">
      <c r="A82" s="191" t="s">
        <v>56</v>
      </c>
      <c r="B82" s="191"/>
      <c r="C82" s="191"/>
      <c r="D82" s="191"/>
      <c r="E82" s="191"/>
      <c r="F82" s="191"/>
      <c r="G82" s="191"/>
      <c r="H82" s="191"/>
      <c r="I82" s="191"/>
      <c r="T82" s="43"/>
    </row>
    <row r="83" spans="1:20" ht="15.75" x14ac:dyDescent="0.25">
      <c r="A83" s="6"/>
      <c r="B83" s="6"/>
      <c r="C83" s="6"/>
      <c r="D83" s="6"/>
      <c r="E83" s="6"/>
      <c r="F83" s="6"/>
      <c r="G83" s="6"/>
      <c r="H83" s="6"/>
      <c r="I83" s="6"/>
    </row>
    <row r="84" spans="1:20" ht="15.75" x14ac:dyDescent="0.25">
      <c r="A84" s="191" t="s">
        <v>51</v>
      </c>
      <c r="B84" s="192"/>
      <c r="C84" s="192"/>
      <c r="D84" s="192"/>
      <c r="E84" s="192"/>
      <c r="F84" s="192"/>
      <c r="G84" s="192"/>
      <c r="H84" s="192"/>
    </row>
    <row r="85" spans="1:20" ht="20.25" customHeight="1" x14ac:dyDescent="0.3">
      <c r="A85" s="193" t="s">
        <v>135</v>
      </c>
      <c r="B85" s="193"/>
      <c r="C85" s="193"/>
      <c r="D85" s="193"/>
      <c r="E85" s="193"/>
      <c r="F85" s="193"/>
      <c r="G85" s="193"/>
      <c r="H85" s="193"/>
      <c r="I85" s="193"/>
      <c r="J85" s="193"/>
      <c r="K85" s="62">
        <f>K67+K72+K79</f>
        <v>37084.64546780604</v>
      </c>
    </row>
    <row r="86" spans="1:20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2"/>
    </row>
    <row r="87" spans="1:20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2"/>
      <c r="P87" s="42"/>
    </row>
    <row r="88" spans="1:20" ht="8.25" customHeight="1" x14ac:dyDescent="0.25"/>
    <row r="89" spans="1:20" ht="16.5" customHeight="1" x14ac:dyDescent="0.25">
      <c r="A89" s="194" t="s">
        <v>49</v>
      </c>
      <c r="B89" s="195"/>
      <c r="C89" s="195"/>
      <c r="D89" s="195"/>
      <c r="E89" s="195"/>
      <c r="F89" s="195"/>
      <c r="G89" s="195"/>
      <c r="H89" s="195"/>
      <c r="I89" s="195"/>
      <c r="J89" s="195"/>
      <c r="K89" s="7"/>
      <c r="L89" s="7"/>
    </row>
    <row r="90" spans="1:20" ht="24.75" customHeight="1" x14ac:dyDescent="0.3">
      <c r="A90" s="196" t="s">
        <v>141</v>
      </c>
      <c r="B90" s="196"/>
      <c r="C90" s="196"/>
      <c r="D90" s="196"/>
      <c r="E90" s="196"/>
      <c r="F90" s="196"/>
      <c r="G90" s="196"/>
      <c r="H90" s="196"/>
      <c r="I90" s="196"/>
      <c r="J90" s="196"/>
      <c r="K90" s="71">
        <f>K85/O18</f>
        <v>15.313349795932657</v>
      </c>
      <c r="L90" s="63" t="s">
        <v>50</v>
      </c>
    </row>
    <row r="94" spans="1:20" s="10" customFormat="1" x14ac:dyDescent="0.25"/>
    <row r="95" spans="1:20" s="11" customFormat="1" ht="18.75" x14ac:dyDescent="0.3">
      <c r="B95" s="12" t="s">
        <v>69</v>
      </c>
      <c r="D95" s="188" t="s">
        <v>65</v>
      </c>
      <c r="E95" s="188"/>
      <c r="L95" s="12" t="s">
        <v>69</v>
      </c>
      <c r="M95" s="12"/>
      <c r="N95" s="12" t="s">
        <v>75</v>
      </c>
      <c r="O95" s="12"/>
    </row>
    <row r="96" spans="1:20" s="11" customFormat="1" x14ac:dyDescent="0.25"/>
    <row r="97" spans="2:18" s="11" customFormat="1" x14ac:dyDescent="0.25">
      <c r="B97" s="184" t="s">
        <v>66</v>
      </c>
      <c r="C97" s="184"/>
      <c r="D97" s="13"/>
      <c r="E97" s="13"/>
      <c r="F97" s="189">
        <v>288912</v>
      </c>
      <c r="G97" s="189"/>
      <c r="L97" s="13" t="s">
        <v>66</v>
      </c>
      <c r="M97" s="13"/>
      <c r="N97" s="13"/>
      <c r="O97" s="13"/>
      <c r="P97" s="13"/>
      <c r="Q97" s="30">
        <v>271500</v>
      </c>
    </row>
    <row r="98" spans="2:18" s="11" customFormat="1" x14ac:dyDescent="0.25">
      <c r="B98" s="13" t="s">
        <v>67</v>
      </c>
      <c r="D98" s="13"/>
      <c r="E98" s="13"/>
      <c r="F98" s="185">
        <v>10</v>
      </c>
      <c r="G98" s="185"/>
      <c r="H98" s="11" t="s">
        <v>154</v>
      </c>
      <c r="L98" s="13" t="s">
        <v>67</v>
      </c>
      <c r="M98" s="13"/>
      <c r="N98" s="13"/>
      <c r="O98" s="13"/>
      <c r="P98" s="13"/>
      <c r="Q98" s="13">
        <v>10</v>
      </c>
      <c r="R98" s="11" t="s">
        <v>154</v>
      </c>
    </row>
    <row r="99" spans="2:18" s="11" customFormat="1" x14ac:dyDescent="0.25">
      <c r="B99" s="13" t="s">
        <v>81</v>
      </c>
      <c r="D99" s="13"/>
      <c r="E99" s="13"/>
      <c r="F99" s="14"/>
      <c r="G99" s="14">
        <v>2018</v>
      </c>
      <c r="L99" s="13" t="s">
        <v>81</v>
      </c>
      <c r="N99" s="13"/>
      <c r="O99" s="13"/>
      <c r="P99" s="14"/>
      <c r="Q99" s="14">
        <v>2018</v>
      </c>
    </row>
    <row r="100" spans="2:18" s="11" customFormat="1" x14ac:dyDescent="0.25">
      <c r="B100" s="184" t="s">
        <v>68</v>
      </c>
      <c r="C100" s="184"/>
      <c r="D100" s="184"/>
      <c r="F100" s="185">
        <v>6</v>
      </c>
      <c r="G100" s="185"/>
      <c r="L100" s="13" t="s">
        <v>76</v>
      </c>
      <c r="M100" s="13"/>
      <c r="N100" s="13"/>
      <c r="O100" s="13"/>
      <c r="P100" s="13"/>
      <c r="Q100" s="13">
        <v>6</v>
      </c>
    </row>
    <row r="101" spans="2:18" s="11" customFormat="1" x14ac:dyDescent="0.25">
      <c r="B101" s="184" t="s">
        <v>71</v>
      </c>
      <c r="C101" s="184"/>
      <c r="D101" s="184"/>
      <c r="F101" s="14"/>
      <c r="G101" s="17">
        <v>100000</v>
      </c>
      <c r="L101" s="13" t="s">
        <v>71</v>
      </c>
      <c r="M101" s="13"/>
      <c r="N101" s="13"/>
      <c r="O101" s="13"/>
      <c r="P101" s="13"/>
      <c r="Q101" s="19">
        <v>100000</v>
      </c>
    </row>
    <row r="102" spans="2:18" s="11" customFormat="1" x14ac:dyDescent="0.25">
      <c r="B102" s="184" t="s">
        <v>72</v>
      </c>
      <c r="C102" s="184"/>
      <c r="D102" s="184"/>
      <c r="F102" s="14"/>
      <c r="G102" s="20">
        <v>1533.77</v>
      </c>
      <c r="L102" s="13" t="s">
        <v>72</v>
      </c>
      <c r="M102" s="13"/>
      <c r="N102" s="13"/>
      <c r="O102" s="13"/>
      <c r="P102" s="13"/>
      <c r="Q102" s="69">
        <v>860.69</v>
      </c>
    </row>
    <row r="103" spans="2:18" s="11" customFormat="1" x14ac:dyDescent="0.25">
      <c r="B103" s="184" t="s">
        <v>73</v>
      </c>
      <c r="C103" s="184"/>
      <c r="D103" s="15"/>
      <c r="F103" s="14"/>
      <c r="G103" s="14">
        <v>2.6</v>
      </c>
      <c r="H103" s="13" t="s">
        <v>74</v>
      </c>
      <c r="L103" s="13" t="s">
        <v>73</v>
      </c>
      <c r="M103" s="13"/>
      <c r="N103" s="13"/>
      <c r="O103" s="13"/>
      <c r="P103" s="13"/>
      <c r="Q103" s="13">
        <v>4.7</v>
      </c>
    </row>
    <row r="104" spans="2:18" s="11" customFormat="1" x14ac:dyDescent="0.25">
      <c r="B104" s="184" t="s">
        <v>70</v>
      </c>
      <c r="C104" s="184"/>
      <c r="D104" s="184"/>
      <c r="F104" s="185" t="s">
        <v>125</v>
      </c>
      <c r="G104" s="185"/>
      <c r="L104" s="13" t="s">
        <v>70</v>
      </c>
      <c r="M104" s="13"/>
      <c r="N104" s="13"/>
      <c r="O104" s="13"/>
      <c r="P104" s="13"/>
      <c r="Q104" s="13" t="s">
        <v>124</v>
      </c>
    </row>
    <row r="105" spans="2:18" s="11" customFormat="1" x14ac:dyDescent="0.25"/>
    <row r="106" spans="2:18" s="11" customFormat="1" x14ac:dyDescent="0.25"/>
    <row r="107" spans="2:18" s="11" customFormat="1" ht="18.75" x14ac:dyDescent="0.3">
      <c r="B107" s="12" t="s">
        <v>69</v>
      </c>
      <c r="C107" s="12"/>
      <c r="D107" s="12" t="s">
        <v>77</v>
      </c>
      <c r="E107" s="13"/>
      <c r="F107" s="13"/>
      <c r="G107" s="13"/>
      <c r="H107" s="13"/>
      <c r="L107" s="12" t="s">
        <v>69</v>
      </c>
      <c r="M107" s="16"/>
      <c r="N107" s="16"/>
      <c r="O107" s="12" t="s">
        <v>78</v>
      </c>
    </row>
    <row r="108" spans="2:18" s="11" customFormat="1" x14ac:dyDescent="0.25">
      <c r="B108" s="13"/>
      <c r="C108" s="13"/>
      <c r="D108" s="13"/>
      <c r="E108" s="13"/>
      <c r="F108" s="13"/>
      <c r="G108" s="13"/>
      <c r="H108" s="13"/>
    </row>
    <row r="109" spans="2:18" s="11" customFormat="1" x14ac:dyDescent="0.25">
      <c r="B109" s="184" t="s">
        <v>66</v>
      </c>
      <c r="C109" s="184"/>
      <c r="D109" s="13"/>
      <c r="E109" s="13"/>
      <c r="F109" s="185">
        <v>400</v>
      </c>
      <c r="G109" s="185"/>
      <c r="H109" s="13"/>
      <c r="L109" s="184" t="s">
        <v>66</v>
      </c>
      <c r="M109" s="184"/>
      <c r="N109" s="13"/>
      <c r="O109" s="13"/>
      <c r="P109" s="185" t="s">
        <v>78</v>
      </c>
      <c r="Q109" s="185"/>
      <c r="R109" s="13"/>
    </row>
    <row r="110" spans="2:18" s="11" customFormat="1" x14ac:dyDescent="0.25">
      <c r="B110" s="13" t="s">
        <v>67</v>
      </c>
      <c r="C110" s="13"/>
      <c r="D110" s="13"/>
      <c r="E110" s="13"/>
      <c r="F110" s="185">
        <v>10</v>
      </c>
      <c r="G110" s="185"/>
      <c r="H110" s="13" t="s">
        <v>154</v>
      </c>
      <c r="L110" s="13" t="s">
        <v>67</v>
      </c>
      <c r="M110" s="13"/>
      <c r="N110" s="13"/>
      <c r="O110" s="13"/>
      <c r="P110" s="185">
        <v>8</v>
      </c>
      <c r="Q110" s="185"/>
      <c r="R110" s="13" t="s">
        <v>154</v>
      </c>
    </row>
    <row r="111" spans="2:18" s="11" customFormat="1" x14ac:dyDescent="0.25">
      <c r="B111" s="13" t="s">
        <v>81</v>
      </c>
      <c r="D111" s="13"/>
      <c r="E111" s="13"/>
      <c r="F111" s="14"/>
      <c r="G111" s="14" t="s">
        <v>82</v>
      </c>
      <c r="L111" s="13" t="s">
        <v>81</v>
      </c>
      <c r="N111" s="13"/>
      <c r="O111" s="13"/>
      <c r="P111" s="14"/>
      <c r="Q111" s="14" t="s">
        <v>83</v>
      </c>
      <c r="R111" s="13"/>
    </row>
    <row r="112" spans="2:18" s="11" customFormat="1" x14ac:dyDescent="0.25">
      <c r="B112" s="184" t="s">
        <v>68</v>
      </c>
      <c r="C112" s="184"/>
      <c r="D112" s="184"/>
      <c r="E112" s="13"/>
      <c r="F112" s="185" t="s">
        <v>87</v>
      </c>
      <c r="G112" s="185"/>
      <c r="H112" s="13"/>
      <c r="L112" s="184" t="s">
        <v>68</v>
      </c>
      <c r="M112" s="184"/>
      <c r="N112" s="184"/>
      <c r="O112" s="13"/>
      <c r="P112" s="185" t="s">
        <v>88</v>
      </c>
      <c r="Q112" s="185"/>
      <c r="R112" s="13"/>
    </row>
    <row r="113" spans="2:21" s="11" customFormat="1" x14ac:dyDescent="0.25">
      <c r="B113" s="184" t="s">
        <v>71</v>
      </c>
      <c r="C113" s="184"/>
      <c r="D113" s="184"/>
      <c r="E113" s="13"/>
      <c r="F113" s="14"/>
      <c r="G113" s="14" t="s">
        <v>89</v>
      </c>
      <c r="H113" s="13"/>
      <c r="L113" s="184" t="s">
        <v>71</v>
      </c>
      <c r="M113" s="184"/>
      <c r="N113" s="184"/>
      <c r="O113" s="13"/>
      <c r="P113" s="14"/>
      <c r="Q113" s="14" t="s">
        <v>90</v>
      </c>
      <c r="R113" s="13"/>
    </row>
    <row r="114" spans="2:21" s="11" customFormat="1" x14ac:dyDescent="0.25">
      <c r="B114" s="184" t="s">
        <v>72</v>
      </c>
      <c r="C114" s="184"/>
      <c r="D114" s="184"/>
      <c r="E114" s="13"/>
      <c r="F114" s="14"/>
      <c r="G114" s="14">
        <v>400</v>
      </c>
      <c r="H114" s="13"/>
      <c r="L114" s="184" t="s">
        <v>72</v>
      </c>
      <c r="M114" s="184"/>
      <c r="N114" s="184"/>
      <c r="O114" s="13"/>
      <c r="P114" s="14"/>
      <c r="Q114" s="14">
        <v>4444</v>
      </c>
      <c r="R114" s="13"/>
    </row>
    <row r="115" spans="2:21" s="11" customFormat="1" x14ac:dyDescent="0.25">
      <c r="B115" s="184" t="s">
        <v>73</v>
      </c>
      <c r="C115" s="184"/>
      <c r="D115" s="15"/>
      <c r="E115" s="13"/>
      <c r="F115" s="14"/>
      <c r="G115" s="14">
        <v>2</v>
      </c>
      <c r="H115" s="13" t="s">
        <v>74</v>
      </c>
      <c r="L115" s="184" t="s">
        <v>73</v>
      </c>
      <c r="M115" s="184"/>
      <c r="N115" s="15"/>
      <c r="O115" s="13"/>
      <c r="P115" s="14"/>
      <c r="Q115" s="14">
        <v>4</v>
      </c>
      <c r="R115" s="13" t="s">
        <v>74</v>
      </c>
    </row>
    <row r="116" spans="2:21" s="11" customFormat="1" x14ac:dyDescent="0.25">
      <c r="B116" s="184" t="s">
        <v>70</v>
      </c>
      <c r="C116" s="184"/>
      <c r="D116" s="184"/>
      <c r="E116" s="13"/>
      <c r="F116" s="185" t="s">
        <v>85</v>
      </c>
      <c r="G116" s="185"/>
      <c r="H116" s="13"/>
      <c r="L116" s="184" t="s">
        <v>70</v>
      </c>
      <c r="M116" s="184"/>
      <c r="N116" s="184"/>
      <c r="O116" s="13"/>
      <c r="P116" s="185" t="s">
        <v>86</v>
      </c>
      <c r="Q116" s="185"/>
      <c r="R116" s="13"/>
    </row>
    <row r="117" spans="2:21" s="11" customFormat="1" x14ac:dyDescent="0.25"/>
    <row r="118" spans="2:21" s="11" customFormat="1" x14ac:dyDescent="0.25"/>
    <row r="119" spans="2:21" s="11" customFormat="1" ht="18.75" x14ac:dyDescent="0.3">
      <c r="Q119" s="12" t="s">
        <v>65</v>
      </c>
      <c r="R119" s="12"/>
      <c r="T119" s="13" t="s">
        <v>130</v>
      </c>
      <c r="U119" s="13"/>
    </row>
    <row r="120" spans="2:21" s="11" customFormat="1" ht="18.75" x14ac:dyDescent="0.3">
      <c r="Q120" s="12" t="s">
        <v>75</v>
      </c>
      <c r="T120" s="13" t="s">
        <v>129</v>
      </c>
      <c r="U120" s="13"/>
    </row>
    <row r="121" spans="2:21" s="11" customFormat="1" ht="18.75" x14ac:dyDescent="0.3">
      <c r="Q121" s="12" t="s">
        <v>77</v>
      </c>
    </row>
    <row r="122" spans="2:21" s="11" customFormat="1" ht="18" customHeight="1" x14ac:dyDescent="0.3">
      <c r="B122" s="186" t="s">
        <v>172</v>
      </c>
      <c r="C122" s="186"/>
      <c r="Q122" s="12" t="s">
        <v>78</v>
      </c>
    </row>
    <row r="123" spans="2:21" ht="0.75" hidden="1" customHeight="1" x14ac:dyDescent="0.25">
      <c r="B123" s="186"/>
      <c r="C123" s="186"/>
    </row>
    <row r="124" spans="2:21" hidden="1" x14ac:dyDescent="0.25">
      <c r="B124" s="186"/>
      <c r="C124" s="186"/>
    </row>
    <row r="125" spans="2:21" x14ac:dyDescent="0.25">
      <c r="B125" s="186"/>
      <c r="C125" s="186"/>
    </row>
    <row r="126" spans="2:21" ht="24.75" x14ac:dyDescent="0.25">
      <c r="B126" s="94" t="s">
        <v>173</v>
      </c>
      <c r="C126" s="9" t="s">
        <v>174</v>
      </c>
      <c r="D126" s="9"/>
      <c r="E126" s="9"/>
      <c r="F126" s="9" t="s">
        <v>175</v>
      </c>
      <c r="G126" s="9"/>
      <c r="H126" s="9"/>
      <c r="I126" s="9" t="s">
        <v>176</v>
      </c>
      <c r="J126" s="9"/>
      <c r="K126" s="9"/>
      <c r="L126" s="9" t="s">
        <v>177</v>
      </c>
      <c r="M126" s="9"/>
      <c r="N126" s="9"/>
    </row>
    <row r="127" spans="2:21" x14ac:dyDescent="0.25">
      <c r="B127" s="5">
        <v>40</v>
      </c>
      <c r="C127" s="2">
        <f>$K$42*(B127*21)</f>
        <v>4049.0369329846144</v>
      </c>
      <c r="F127" s="2">
        <f>(C127+$K$65)*0.05</f>
        <v>1159.2990955593639</v>
      </c>
      <c r="I127" s="2">
        <f>(C127+$K$65+F127)*6%</f>
        <v>1460.7168604047984</v>
      </c>
      <c r="L127" s="31">
        <f>(C127+$K$65+F127+I127)*14.25%</f>
        <v>3677.3546960690801</v>
      </c>
      <c r="M127" s="9"/>
      <c r="N127" s="9"/>
    </row>
    <row r="128" spans="2:21" x14ac:dyDescent="0.25">
      <c r="B128" s="5">
        <v>50</v>
      </c>
      <c r="C128" s="2">
        <f t="shared" ref="C128:C139" si="0">$K$42*(B128*21)</f>
        <v>5061.296166230768</v>
      </c>
      <c r="F128" s="2">
        <f t="shared" ref="F128:F139" si="1">(C128+$K$65)*0.05</f>
        <v>1209.9120572216716</v>
      </c>
      <c r="I128" s="2">
        <f t="shared" ref="I128:I139" si="2">(C128+$K$65+F128)*6%</f>
        <v>1524.4891920993061</v>
      </c>
      <c r="L128" s="31">
        <f t="shared" ref="L128:L139" si="3">(C128+$K$65+F128+I128)*14.25%</f>
        <v>3837.9015411100031</v>
      </c>
      <c r="M128" s="9"/>
      <c r="N128" s="9"/>
    </row>
    <row r="129" spans="2:14" x14ac:dyDescent="0.25">
      <c r="B129" s="5">
        <v>60</v>
      </c>
      <c r="C129" s="2">
        <f t="shared" si="0"/>
        <v>6073.5553994769216</v>
      </c>
      <c r="F129" s="2">
        <f t="shared" si="1"/>
        <v>1260.5250188839793</v>
      </c>
      <c r="I129" s="2">
        <f t="shared" si="2"/>
        <v>1588.2615237938137</v>
      </c>
      <c r="L129" s="31">
        <f t="shared" si="3"/>
        <v>3998.4483861509261</v>
      </c>
      <c r="M129" s="9"/>
      <c r="N129" s="9"/>
    </row>
    <row r="130" spans="2:14" x14ac:dyDescent="0.25">
      <c r="B130" s="5">
        <v>70</v>
      </c>
      <c r="C130" s="2">
        <f t="shared" si="0"/>
        <v>7085.8146327230752</v>
      </c>
      <c r="F130" s="2">
        <f t="shared" si="1"/>
        <v>1311.1379805462871</v>
      </c>
      <c r="I130" s="2">
        <f t="shared" si="2"/>
        <v>1652.0338554883215</v>
      </c>
      <c r="L130" s="31">
        <f t="shared" si="3"/>
        <v>4158.9952311918487</v>
      </c>
      <c r="M130" s="9"/>
      <c r="N130" s="9"/>
    </row>
    <row r="131" spans="2:14" x14ac:dyDescent="0.25">
      <c r="B131" s="5">
        <v>80</v>
      </c>
      <c r="C131" s="2">
        <f t="shared" si="0"/>
        <v>8098.0738659692288</v>
      </c>
      <c r="F131" s="2">
        <f t="shared" si="1"/>
        <v>1361.7509422085948</v>
      </c>
      <c r="I131" s="2">
        <f t="shared" si="2"/>
        <v>1715.806187182829</v>
      </c>
      <c r="L131" s="31">
        <f t="shared" si="3"/>
        <v>4319.5420762327722</v>
      </c>
      <c r="M131" s="9"/>
      <c r="N131" s="9"/>
    </row>
    <row r="132" spans="2:14" x14ac:dyDescent="0.25">
      <c r="B132" s="5">
        <v>90</v>
      </c>
      <c r="C132" s="2">
        <f t="shared" si="0"/>
        <v>9110.3330992153824</v>
      </c>
      <c r="F132" s="2">
        <f t="shared" si="1"/>
        <v>1412.3639038709025</v>
      </c>
      <c r="I132" s="2">
        <f t="shared" si="2"/>
        <v>1779.578518877337</v>
      </c>
      <c r="L132" s="31">
        <f t="shared" si="3"/>
        <v>4480.0889212736956</v>
      </c>
      <c r="M132" s="9"/>
      <c r="N132" s="9"/>
    </row>
    <row r="133" spans="2:14" x14ac:dyDescent="0.25">
      <c r="B133" s="5">
        <v>100</v>
      </c>
      <c r="C133" s="2">
        <f t="shared" si="0"/>
        <v>10122.592332461536</v>
      </c>
      <c r="F133" s="2">
        <f t="shared" si="1"/>
        <v>1462.97686553321</v>
      </c>
      <c r="I133" s="2">
        <f t="shared" si="2"/>
        <v>1843.3508505718444</v>
      </c>
      <c r="L133" s="31">
        <f t="shared" si="3"/>
        <v>4640.6357663146182</v>
      </c>
      <c r="M133" s="9"/>
      <c r="N133" s="9"/>
    </row>
    <row r="134" spans="2:14" x14ac:dyDescent="0.25">
      <c r="B134" s="5">
        <v>110</v>
      </c>
      <c r="C134" s="2">
        <f t="shared" si="0"/>
        <v>11134.85156570769</v>
      </c>
      <c r="F134" s="2">
        <f t="shared" si="1"/>
        <v>1513.5898271955177</v>
      </c>
      <c r="I134" s="2">
        <f t="shared" si="2"/>
        <v>1907.1231822663524</v>
      </c>
      <c r="L134" s="31">
        <f t="shared" si="3"/>
        <v>4801.1826113555417</v>
      </c>
      <c r="M134" s="9"/>
      <c r="N134" s="9"/>
    </row>
    <row r="135" spans="2:14" x14ac:dyDescent="0.25">
      <c r="B135" s="5">
        <v>120</v>
      </c>
      <c r="C135" s="2">
        <f t="shared" si="0"/>
        <v>12147.110798953843</v>
      </c>
      <c r="F135" s="2">
        <f t="shared" si="1"/>
        <v>1564.2027888578255</v>
      </c>
      <c r="I135" s="2">
        <f t="shared" si="2"/>
        <v>1970.8955139608597</v>
      </c>
      <c r="L135" s="31">
        <f t="shared" si="3"/>
        <v>4961.7294563964642</v>
      </c>
      <c r="M135" s="9"/>
      <c r="N135" s="9"/>
    </row>
    <row r="136" spans="2:14" x14ac:dyDescent="0.25">
      <c r="B136" s="5">
        <v>130</v>
      </c>
      <c r="C136" s="2">
        <f t="shared" si="0"/>
        <v>13159.370032199997</v>
      </c>
      <c r="F136" s="2">
        <f t="shared" si="1"/>
        <v>1614.8157505201332</v>
      </c>
      <c r="I136" s="2">
        <f t="shared" si="2"/>
        <v>2034.6678456553677</v>
      </c>
      <c r="L136" s="31">
        <f t="shared" si="3"/>
        <v>5122.2763014373886</v>
      </c>
      <c r="M136" s="9"/>
      <c r="N136" s="9"/>
    </row>
    <row r="137" spans="2:14" x14ac:dyDescent="0.25">
      <c r="B137" s="5">
        <v>140</v>
      </c>
      <c r="C137" s="2">
        <f t="shared" si="0"/>
        <v>14171.62926544615</v>
      </c>
      <c r="F137" s="2">
        <f t="shared" si="1"/>
        <v>1665.4287121824409</v>
      </c>
      <c r="I137" s="2">
        <f t="shared" si="2"/>
        <v>2098.4401773498753</v>
      </c>
      <c r="L137" s="31">
        <f t="shared" si="3"/>
        <v>5282.8231464783103</v>
      </c>
      <c r="M137" s="9"/>
      <c r="N137" s="9"/>
    </row>
    <row r="138" spans="2:14" x14ac:dyDescent="0.25">
      <c r="B138" s="5">
        <v>150</v>
      </c>
      <c r="C138" s="2">
        <f t="shared" si="0"/>
        <v>15183.888498692304</v>
      </c>
      <c r="F138" s="2">
        <f t="shared" si="1"/>
        <v>1716.0416738447486</v>
      </c>
      <c r="I138" s="2">
        <f t="shared" si="2"/>
        <v>2162.2125090443828</v>
      </c>
      <c r="L138" s="31">
        <f t="shared" si="3"/>
        <v>5443.3699915192337</v>
      </c>
      <c r="M138" s="9"/>
      <c r="N138" s="9"/>
    </row>
    <row r="139" spans="2:14" x14ac:dyDescent="0.25">
      <c r="B139" s="5">
        <v>160</v>
      </c>
      <c r="C139" s="2">
        <f t="shared" si="0"/>
        <v>16196.147731938458</v>
      </c>
      <c r="F139" s="2">
        <f t="shared" si="1"/>
        <v>1766.6546355070561</v>
      </c>
      <c r="I139" s="2">
        <f t="shared" si="2"/>
        <v>2225.9848407388904</v>
      </c>
      <c r="L139" s="31">
        <f t="shared" si="3"/>
        <v>5603.9168365601563</v>
      </c>
      <c r="M139" s="9"/>
      <c r="N139" s="9"/>
    </row>
    <row r="140" spans="2:14" x14ac:dyDescent="0.25">
      <c r="B140" s="5"/>
    </row>
    <row r="143" spans="2:14" x14ac:dyDescent="0.25">
      <c r="B143" s="187" t="s">
        <v>178</v>
      </c>
      <c r="C143" s="187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</row>
    <row r="144" spans="2:14" x14ac:dyDescent="0.25">
      <c r="B144" s="187"/>
      <c r="C144" s="187"/>
    </row>
    <row r="145" spans="2:14" x14ac:dyDescent="0.25">
      <c r="B145" s="187"/>
      <c r="C145" s="187"/>
    </row>
    <row r="146" spans="2:14" x14ac:dyDescent="0.25">
      <c r="B146" s="187"/>
      <c r="C146" s="187"/>
    </row>
    <row r="147" spans="2:14" ht="24.75" x14ac:dyDescent="0.25">
      <c r="B147" s="94" t="s">
        <v>173</v>
      </c>
      <c r="C147" s="9" t="s">
        <v>174</v>
      </c>
      <c r="D147" s="9"/>
      <c r="E147" s="9"/>
      <c r="F147" s="9" t="s">
        <v>175</v>
      </c>
      <c r="G147" s="9"/>
      <c r="H147" s="9"/>
      <c r="I147" s="9" t="s">
        <v>176</v>
      </c>
      <c r="J147" s="9"/>
      <c r="K147" s="9"/>
      <c r="L147" s="9" t="s">
        <v>177</v>
      </c>
      <c r="M147" s="9"/>
      <c r="N147" s="9"/>
    </row>
    <row r="148" spans="2:14" x14ac:dyDescent="0.25">
      <c r="B148" s="5">
        <v>40</v>
      </c>
      <c r="C148" s="2">
        <f>($K$42*(B148*21))*1.154</f>
        <v>4672.5886206642444</v>
      </c>
      <c r="F148" s="2">
        <f>(C148+$K$65)*0.05</f>
        <v>1190.4766799433455</v>
      </c>
      <c r="I148" s="2">
        <f>(C148+$K$65+F148)*6%</f>
        <v>1500.0006167286153</v>
      </c>
      <c r="L148" s="31">
        <f>(C148+$K$65+F148+I148)*14.25%</f>
        <v>3776.2515526142888</v>
      </c>
      <c r="M148" s="9"/>
      <c r="N148" s="9"/>
    </row>
    <row r="149" spans="2:14" x14ac:dyDescent="0.25">
      <c r="B149" s="5">
        <v>50</v>
      </c>
      <c r="C149" s="2">
        <f t="shared" ref="C149:C160" si="4">($K$42*(B149*21))*1.154</f>
        <v>5840.735775830306</v>
      </c>
      <c r="F149" s="2">
        <f t="shared" ref="F149:F160" si="5">(C149+$K$65)*0.05</f>
        <v>1248.8840377016486</v>
      </c>
      <c r="I149" s="2">
        <f t="shared" ref="I149:I160" si="6">(C149+$K$65+F149)*6%</f>
        <v>1573.593887504077</v>
      </c>
      <c r="L149" s="31">
        <f t="shared" ref="L149:L160" si="7">(C149+$K$65+F149+I149)*14.25%</f>
        <v>3961.5226117915136</v>
      </c>
      <c r="M149" s="9"/>
      <c r="N149" s="9"/>
    </row>
    <row r="150" spans="2:14" x14ac:dyDescent="0.25">
      <c r="B150" s="5">
        <v>60</v>
      </c>
      <c r="C150" s="2">
        <f t="shared" si="4"/>
        <v>7008.8829309963667</v>
      </c>
      <c r="F150" s="2">
        <f t="shared" si="5"/>
        <v>1307.2913954599517</v>
      </c>
      <c r="I150" s="2">
        <f t="shared" si="6"/>
        <v>1647.1871582795388</v>
      </c>
      <c r="L150" s="31">
        <f t="shared" si="7"/>
        <v>4146.7936709687392</v>
      </c>
      <c r="M150" s="9"/>
      <c r="N150" s="9"/>
    </row>
    <row r="151" spans="2:14" x14ac:dyDescent="0.25">
      <c r="B151" s="5">
        <v>70</v>
      </c>
      <c r="C151" s="2">
        <f t="shared" si="4"/>
        <v>8177.0300861624282</v>
      </c>
      <c r="F151" s="2">
        <f t="shared" si="5"/>
        <v>1365.6987532182548</v>
      </c>
      <c r="I151" s="2">
        <f t="shared" si="6"/>
        <v>1720.7804290550007</v>
      </c>
      <c r="L151" s="31">
        <f t="shared" si="7"/>
        <v>4332.0647301459639</v>
      </c>
      <c r="M151" s="9"/>
      <c r="N151" s="9"/>
    </row>
    <row r="152" spans="2:14" x14ac:dyDescent="0.25">
      <c r="B152" s="5">
        <v>80</v>
      </c>
      <c r="C152" s="2">
        <f t="shared" si="4"/>
        <v>9345.1772413284889</v>
      </c>
      <c r="F152" s="2">
        <f t="shared" si="5"/>
        <v>1424.1061109765578</v>
      </c>
      <c r="I152" s="2">
        <f t="shared" si="6"/>
        <v>1794.3736998304626</v>
      </c>
      <c r="L152" s="31">
        <f t="shared" si="7"/>
        <v>4517.3357893231896</v>
      </c>
      <c r="M152" s="9"/>
      <c r="N152" s="9"/>
    </row>
    <row r="153" spans="2:14" x14ac:dyDescent="0.25">
      <c r="B153" s="5">
        <v>90</v>
      </c>
      <c r="C153" s="2">
        <f t="shared" si="4"/>
        <v>10513.32439649455</v>
      </c>
      <c r="F153" s="2">
        <f t="shared" si="5"/>
        <v>1482.5134687348609</v>
      </c>
      <c r="I153" s="2">
        <f t="shared" si="6"/>
        <v>1867.9669706059244</v>
      </c>
      <c r="L153" s="31">
        <f t="shared" si="7"/>
        <v>4702.6068485004143</v>
      </c>
      <c r="M153" s="9"/>
      <c r="N153" s="9"/>
    </row>
    <row r="154" spans="2:14" x14ac:dyDescent="0.25">
      <c r="B154" s="5">
        <v>100</v>
      </c>
      <c r="C154" s="2">
        <f t="shared" si="4"/>
        <v>11681.471551660612</v>
      </c>
      <c r="F154" s="2">
        <f t="shared" si="5"/>
        <v>1540.920826493164</v>
      </c>
      <c r="I154" s="2">
        <f t="shared" si="6"/>
        <v>1941.5602413813863</v>
      </c>
      <c r="L154" s="31">
        <f t="shared" si="7"/>
        <v>4887.8779076776391</v>
      </c>
      <c r="M154" s="9"/>
      <c r="N154" s="9"/>
    </row>
    <row r="155" spans="2:14" x14ac:dyDescent="0.25">
      <c r="B155" s="5">
        <v>110</v>
      </c>
      <c r="C155" s="2">
        <f t="shared" si="4"/>
        <v>12849.618706826674</v>
      </c>
      <c r="F155" s="2">
        <f t="shared" si="5"/>
        <v>1599.3281842514671</v>
      </c>
      <c r="I155" s="2">
        <f t="shared" si="6"/>
        <v>2015.1535121568484</v>
      </c>
      <c r="L155" s="31">
        <f t="shared" si="7"/>
        <v>5073.1489668548647</v>
      </c>
      <c r="M155" s="9"/>
      <c r="N155" s="9"/>
    </row>
    <row r="156" spans="2:14" x14ac:dyDescent="0.25">
      <c r="B156" s="5">
        <v>120</v>
      </c>
      <c r="C156" s="2">
        <f t="shared" si="4"/>
        <v>14017.765861992733</v>
      </c>
      <c r="F156" s="2">
        <f t="shared" si="5"/>
        <v>1657.7355420097699</v>
      </c>
      <c r="I156" s="2">
        <f t="shared" si="6"/>
        <v>2088.7467829323095</v>
      </c>
      <c r="L156" s="31">
        <f t="shared" si="7"/>
        <v>5258.4200260320886</v>
      </c>
      <c r="M156" s="9"/>
      <c r="N156" s="9"/>
    </row>
    <row r="157" spans="2:14" x14ac:dyDescent="0.25">
      <c r="B157" s="5">
        <v>130</v>
      </c>
      <c r="C157" s="2">
        <f t="shared" si="4"/>
        <v>15185.913017158795</v>
      </c>
      <c r="F157" s="2">
        <f t="shared" si="5"/>
        <v>1716.1428997680732</v>
      </c>
      <c r="I157" s="2">
        <f t="shared" si="6"/>
        <v>2162.3400537077719</v>
      </c>
      <c r="L157" s="31">
        <f t="shared" si="7"/>
        <v>5443.6910852093151</v>
      </c>
      <c r="M157" s="9"/>
      <c r="N157" s="9"/>
    </row>
    <row r="158" spans="2:14" x14ac:dyDescent="0.25">
      <c r="B158" s="5">
        <v>140</v>
      </c>
      <c r="C158" s="2">
        <f t="shared" si="4"/>
        <v>16354.060172324856</v>
      </c>
      <c r="F158" s="2">
        <f t="shared" si="5"/>
        <v>1774.5502575263761</v>
      </c>
      <c r="I158" s="2">
        <f t="shared" si="6"/>
        <v>2235.9333244832337</v>
      </c>
      <c r="L158" s="31">
        <f t="shared" si="7"/>
        <v>5628.9621443865399</v>
      </c>
      <c r="M158" s="9"/>
      <c r="N158" s="9"/>
    </row>
    <row r="159" spans="2:14" x14ac:dyDescent="0.25">
      <c r="B159" s="5">
        <v>150</v>
      </c>
      <c r="C159" s="2">
        <f t="shared" si="4"/>
        <v>17522.207327490916</v>
      </c>
      <c r="F159" s="2">
        <f t="shared" si="5"/>
        <v>1832.9576152846794</v>
      </c>
      <c r="I159" s="2">
        <f t="shared" si="6"/>
        <v>2309.5265952586956</v>
      </c>
      <c r="L159" s="31">
        <f t="shared" si="7"/>
        <v>5814.2332035637655</v>
      </c>
      <c r="M159" s="9"/>
      <c r="N159" s="9"/>
    </row>
    <row r="160" spans="2:14" x14ac:dyDescent="0.25">
      <c r="B160" s="5">
        <v>160</v>
      </c>
      <c r="C160" s="2">
        <f t="shared" si="4"/>
        <v>18690.354482656978</v>
      </c>
      <c r="F160" s="2">
        <f t="shared" si="5"/>
        <v>1891.3649730429822</v>
      </c>
      <c r="I160" s="2">
        <f t="shared" si="6"/>
        <v>2383.1198660341574</v>
      </c>
      <c r="L160" s="31">
        <f t="shared" si="7"/>
        <v>5999.5042627409903</v>
      </c>
      <c r="M160" s="9"/>
      <c r="N160" s="9"/>
    </row>
  </sheetData>
  <mergeCells count="121">
    <mergeCell ref="A11:F11"/>
    <mergeCell ref="K11:N11"/>
    <mergeCell ref="A12:C12"/>
    <mergeCell ref="E12:F12"/>
    <mergeCell ref="K12:N12"/>
    <mergeCell ref="A13:D13"/>
    <mergeCell ref="E13:F13"/>
    <mergeCell ref="K13:N13"/>
    <mergeCell ref="C2:F6"/>
    <mergeCell ref="H3:P5"/>
    <mergeCell ref="F7:H7"/>
    <mergeCell ref="K7:N7"/>
    <mergeCell ref="B8:C8"/>
    <mergeCell ref="I9:P9"/>
    <mergeCell ref="A9:F9"/>
    <mergeCell ref="O16:O17"/>
    <mergeCell ref="P16:P17"/>
    <mergeCell ref="T17:V17"/>
    <mergeCell ref="A14:D14"/>
    <mergeCell ref="E14:F14"/>
    <mergeCell ref="K14:N15"/>
    <mergeCell ref="O14:O15"/>
    <mergeCell ref="P14:P15"/>
    <mergeCell ref="E15:F15"/>
    <mergeCell ref="K18:N18"/>
    <mergeCell ref="A19:F19"/>
    <mergeCell ref="A20:F20"/>
    <mergeCell ref="A23:F23"/>
    <mergeCell ref="A24:D24"/>
    <mergeCell ref="E24:F24"/>
    <mergeCell ref="A16:D16"/>
    <mergeCell ref="E16:F16"/>
    <mergeCell ref="K16:N17"/>
    <mergeCell ref="H21:N22"/>
    <mergeCell ref="A28:D28"/>
    <mergeCell ref="E28:F28"/>
    <mergeCell ref="A31:F31"/>
    <mergeCell ref="A32:D32"/>
    <mergeCell ref="E32:F32"/>
    <mergeCell ref="A33:D33"/>
    <mergeCell ref="A25:D25"/>
    <mergeCell ref="E25:F25"/>
    <mergeCell ref="A26:D26"/>
    <mergeCell ref="E26:F26"/>
    <mergeCell ref="A27:D27"/>
    <mergeCell ref="E27:F27"/>
    <mergeCell ref="B41:D41"/>
    <mergeCell ref="F41:H41"/>
    <mergeCell ref="A42:E42"/>
    <mergeCell ref="A43:J43"/>
    <mergeCell ref="A45:J45"/>
    <mergeCell ref="A47:J47"/>
    <mergeCell ref="A36:E36"/>
    <mergeCell ref="B37:D37"/>
    <mergeCell ref="E37:F37"/>
    <mergeCell ref="B38:D38"/>
    <mergeCell ref="B39:D39"/>
    <mergeCell ref="B40:D40"/>
    <mergeCell ref="C54:F54"/>
    <mergeCell ref="C55:F55"/>
    <mergeCell ref="C58:F58"/>
    <mergeCell ref="C60:G60"/>
    <mergeCell ref="C62:E62"/>
    <mergeCell ref="C63:F63"/>
    <mergeCell ref="A49:E49"/>
    <mergeCell ref="H50:I50"/>
    <mergeCell ref="C51:F51"/>
    <mergeCell ref="H51:I51"/>
    <mergeCell ref="C52:F52"/>
    <mergeCell ref="C53:F53"/>
    <mergeCell ref="A74:E74"/>
    <mergeCell ref="A75:F75"/>
    <mergeCell ref="I75:J75"/>
    <mergeCell ref="I76:J76"/>
    <mergeCell ref="I77:J77"/>
    <mergeCell ref="I78:J78"/>
    <mergeCell ref="A65:J65"/>
    <mergeCell ref="A67:I67"/>
    <mergeCell ref="A69:E69"/>
    <mergeCell ref="I69:J69"/>
    <mergeCell ref="C70:F70"/>
    <mergeCell ref="C71:F71"/>
    <mergeCell ref="D95:E95"/>
    <mergeCell ref="B97:C97"/>
    <mergeCell ref="F97:G97"/>
    <mergeCell ref="F98:G98"/>
    <mergeCell ref="B100:D100"/>
    <mergeCell ref="F100:G100"/>
    <mergeCell ref="A79:J79"/>
    <mergeCell ref="A82:I82"/>
    <mergeCell ref="A84:H84"/>
    <mergeCell ref="A85:J85"/>
    <mergeCell ref="A89:J89"/>
    <mergeCell ref="A90:J90"/>
    <mergeCell ref="L109:M109"/>
    <mergeCell ref="P109:Q109"/>
    <mergeCell ref="F110:G110"/>
    <mergeCell ref="P110:Q110"/>
    <mergeCell ref="B112:D112"/>
    <mergeCell ref="F112:G112"/>
    <mergeCell ref="L112:N112"/>
    <mergeCell ref="P112:Q112"/>
    <mergeCell ref="B101:D101"/>
    <mergeCell ref="B102:D102"/>
    <mergeCell ref="B103:C103"/>
    <mergeCell ref="B104:D104"/>
    <mergeCell ref="F104:G104"/>
    <mergeCell ref="B109:C109"/>
    <mergeCell ref="F109:G109"/>
    <mergeCell ref="B116:D116"/>
    <mergeCell ref="F116:G116"/>
    <mergeCell ref="L116:N116"/>
    <mergeCell ref="P116:Q116"/>
    <mergeCell ref="B122:C125"/>
    <mergeCell ref="B143:C146"/>
    <mergeCell ref="B113:D113"/>
    <mergeCell ref="L113:N113"/>
    <mergeCell ref="B114:D114"/>
    <mergeCell ref="L114:N114"/>
    <mergeCell ref="B115:C115"/>
    <mergeCell ref="L115:M115"/>
  </mergeCells>
  <conditionalFormatting sqref="P19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{20FCDD73-6A76-4B2D-A11E-00BB87D0B6CC}</x14:id>
        </ext>
      </extLst>
    </cfRule>
  </conditionalFormatting>
  <dataValidations disablePrompts="1" count="3">
    <dataValidation type="list" allowBlank="1" showInputMessage="1" showErrorMessage="1" sqref="F7:H7 T17:V17">
      <formula1>$Q$119:$Q$122</formula1>
    </dataValidation>
    <dataValidation type="list" allowBlank="1" showInputMessage="1" showErrorMessage="1" sqref="L51">
      <formula1>"LINEAR, MÉTODO COLE"</formula1>
    </dataValidation>
    <dataValidation type="list" allowBlank="1" showInputMessage="1" showErrorMessage="1" sqref="E15:F15">
      <formula1>"0,1,2,3,4,5,6,7,8,9,10,11,12,13,14,15"</formula1>
    </dataValidation>
  </dataValidations>
  <pageMargins left="0.51181102362204722" right="0.51181102362204722" top="0.78740157480314965" bottom="0.78740157480314965" header="0.31496062992125984" footer="0.31496062992125984"/>
  <pageSetup paperSize="9" scale="50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0FCDD73-6A76-4B2D-A11E-00BB87D0B6C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P19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2:V160"/>
  <sheetViews>
    <sheetView tabSelected="1" view="pageBreakPreview" topLeftCell="A43" zoomScale="85" zoomScaleNormal="100" zoomScaleSheetLayoutView="85" workbookViewId="0">
      <selection activeCell="A57" sqref="A57"/>
    </sheetView>
  </sheetViews>
  <sheetFormatPr defaultColWidth="8.85546875" defaultRowHeight="15" x14ac:dyDescent="0.25"/>
  <cols>
    <col min="1" max="1" width="8.85546875" customWidth="1"/>
    <col min="2" max="2" width="14.140625" customWidth="1"/>
    <col min="3" max="3" width="15.28515625" customWidth="1"/>
    <col min="5" max="5" width="12.42578125" customWidth="1"/>
    <col min="6" max="6" width="13.5703125" customWidth="1"/>
    <col min="7" max="7" width="12.140625" customWidth="1"/>
    <col min="9" max="9" width="10.7109375" customWidth="1"/>
    <col min="10" max="10" width="12.140625" bestFit="1" customWidth="1"/>
    <col min="11" max="11" width="16.42578125" bestFit="1" customWidth="1"/>
    <col min="12" max="12" width="14.42578125" customWidth="1"/>
    <col min="14" max="14" width="6.42578125" customWidth="1"/>
    <col min="15" max="15" width="9" customWidth="1"/>
    <col min="16" max="16" width="10.42578125" customWidth="1"/>
    <col min="17" max="17" width="15.140625" customWidth="1"/>
    <col min="18" max="18" width="14.7109375" bestFit="1" customWidth="1"/>
    <col min="19" max="19" width="19.42578125" bestFit="1" customWidth="1"/>
  </cols>
  <sheetData>
    <row r="2" spans="1:19" x14ac:dyDescent="0.25">
      <c r="C2" s="239" t="s">
        <v>151</v>
      </c>
      <c r="D2" s="240"/>
      <c r="E2" s="240"/>
      <c r="F2" s="240"/>
    </row>
    <row r="3" spans="1:19" x14ac:dyDescent="0.25">
      <c r="C3" s="240"/>
      <c r="D3" s="240"/>
      <c r="E3" s="240"/>
      <c r="F3" s="240"/>
      <c r="H3" s="241" t="s">
        <v>64</v>
      </c>
      <c r="I3" s="239"/>
      <c r="J3" s="239"/>
      <c r="K3" s="239"/>
      <c r="L3" s="239"/>
      <c r="M3" s="239"/>
      <c r="N3" s="239"/>
      <c r="O3" s="239"/>
      <c r="P3" s="239"/>
    </row>
    <row r="4" spans="1:19" x14ac:dyDescent="0.25">
      <c r="C4" s="240"/>
      <c r="D4" s="240"/>
      <c r="E4" s="240"/>
      <c r="F4" s="240"/>
      <c r="H4" s="239"/>
      <c r="I4" s="239"/>
      <c r="J4" s="239"/>
      <c r="K4" s="239"/>
      <c r="L4" s="239"/>
      <c r="M4" s="239"/>
      <c r="N4" s="239"/>
      <c r="O4" s="239"/>
      <c r="P4" s="239"/>
    </row>
    <row r="5" spans="1:19" x14ac:dyDescent="0.25">
      <c r="C5" s="240"/>
      <c r="D5" s="240"/>
      <c r="E5" s="240"/>
      <c r="F5" s="240"/>
      <c r="H5" s="239"/>
      <c r="I5" s="239"/>
      <c r="J5" s="239"/>
      <c r="K5" s="239"/>
      <c r="L5" s="239"/>
      <c r="M5" s="239"/>
      <c r="N5" s="239"/>
      <c r="O5" s="239"/>
      <c r="P5" s="239"/>
    </row>
    <row r="6" spans="1:19" x14ac:dyDescent="0.25">
      <c r="C6" s="240"/>
      <c r="D6" s="240"/>
      <c r="E6" s="240"/>
      <c r="F6" s="240"/>
    </row>
    <row r="7" spans="1:19" ht="21" x14ac:dyDescent="0.35">
      <c r="E7" s="18" t="s">
        <v>80</v>
      </c>
      <c r="F7" s="235" t="s">
        <v>65</v>
      </c>
      <c r="G7" s="235"/>
      <c r="H7" s="235"/>
      <c r="K7" s="242" t="s">
        <v>286</v>
      </c>
      <c r="L7" s="243"/>
      <c r="M7" s="243"/>
      <c r="N7" s="243"/>
    </row>
    <row r="8" spans="1:19" ht="15.75" x14ac:dyDescent="0.25">
      <c r="B8" s="194"/>
      <c r="C8" s="194"/>
      <c r="D8" s="142"/>
      <c r="E8" s="142"/>
      <c r="F8" s="142"/>
      <c r="J8" s="9"/>
    </row>
    <row r="9" spans="1:19" ht="21" x14ac:dyDescent="0.35">
      <c r="A9" s="235" t="s">
        <v>352</v>
      </c>
      <c r="B9" s="235"/>
      <c r="C9" s="235"/>
      <c r="D9" s="235"/>
      <c r="E9" s="235"/>
      <c r="F9" s="235"/>
      <c r="I9" s="244" t="s">
        <v>157</v>
      </c>
      <c r="J9" s="244"/>
      <c r="K9" s="244"/>
      <c r="L9" s="244"/>
      <c r="M9" s="244"/>
      <c r="N9" s="244"/>
      <c r="O9" s="244"/>
      <c r="P9" s="244"/>
      <c r="R9" s="9" t="s">
        <v>155</v>
      </c>
      <c r="S9" s="9" t="s">
        <v>156</v>
      </c>
    </row>
    <row r="10" spans="1:19" x14ac:dyDescent="0.25">
      <c r="R10" s="2">
        <f>K43</f>
        <v>870.54294059169206</v>
      </c>
      <c r="S10" s="43">
        <f>K45</f>
        <v>5897.507322667685</v>
      </c>
    </row>
    <row r="11" spans="1:19" ht="17.25" x14ac:dyDescent="0.3">
      <c r="A11" s="236" t="s">
        <v>150</v>
      </c>
      <c r="B11" s="237"/>
      <c r="C11" s="237"/>
      <c r="D11" s="237"/>
      <c r="E11" s="237"/>
      <c r="F11" s="238"/>
      <c r="G11" s="40" t="s">
        <v>0</v>
      </c>
      <c r="K11" s="206" t="s">
        <v>15</v>
      </c>
      <c r="L11" s="206"/>
      <c r="M11" s="206"/>
      <c r="N11" s="206"/>
      <c r="O11" s="161">
        <f>O12+O13</f>
        <v>59.2</v>
      </c>
      <c r="P11" s="47" t="s">
        <v>14</v>
      </c>
      <c r="R11" s="130">
        <f>K65/O18*O14</f>
        <v>2780.0291691307921</v>
      </c>
      <c r="S11" s="130">
        <f>K65/O18*O16</f>
        <v>16356.915809071872</v>
      </c>
    </row>
    <row r="12" spans="1:19" ht="15.75" x14ac:dyDescent="0.25">
      <c r="A12" s="214" t="s">
        <v>107</v>
      </c>
      <c r="B12" s="215"/>
      <c r="C12" s="215"/>
      <c r="D12" s="48"/>
      <c r="E12" s="218">
        <f>Insumos!$B$4</f>
        <v>531068.38</v>
      </c>
      <c r="F12" s="218"/>
      <c r="G12" s="1"/>
      <c r="K12" s="206" t="s">
        <v>136</v>
      </c>
      <c r="L12" s="206"/>
      <c r="M12" s="206"/>
      <c r="N12" s="206"/>
      <c r="O12" s="151">
        <v>8.6</v>
      </c>
      <c r="P12" s="47" t="s">
        <v>14</v>
      </c>
      <c r="R12" s="2">
        <f>K72/O18*O14</f>
        <v>254.63490106346742</v>
      </c>
      <c r="S12" s="2">
        <f>K72/O18*O16</f>
        <v>1498.2006969548202</v>
      </c>
    </row>
    <row r="13" spans="1:19" ht="15.75" x14ac:dyDescent="0.25">
      <c r="A13" s="214" t="s">
        <v>285</v>
      </c>
      <c r="B13" s="215"/>
      <c r="C13" s="215"/>
      <c r="D13" s="216"/>
      <c r="E13" s="198">
        <f>'DEPRECIAÇÃO LINEAR'!D15</f>
        <v>10</v>
      </c>
      <c r="F13" s="198"/>
      <c r="K13" s="206" t="s">
        <v>137</v>
      </c>
      <c r="L13" s="206"/>
      <c r="M13" s="206"/>
      <c r="N13" s="206"/>
      <c r="O13" s="151">
        <v>50.6</v>
      </c>
      <c r="P13" s="47" t="s">
        <v>14</v>
      </c>
      <c r="R13" s="2">
        <f>K79/O18*O14</f>
        <v>380.45422938004657</v>
      </c>
      <c r="S13" s="2">
        <f>K79/O18*O16</f>
        <v>2238.4865123988789</v>
      </c>
    </row>
    <row r="14" spans="1:19" ht="15" customHeight="1" x14ac:dyDescent="0.25">
      <c r="A14" s="214" t="s">
        <v>23</v>
      </c>
      <c r="B14" s="215"/>
      <c r="C14" s="215"/>
      <c r="D14" s="216"/>
      <c r="E14" s="219">
        <v>2026</v>
      </c>
      <c r="F14" s="220"/>
      <c r="K14" s="223" t="s">
        <v>138</v>
      </c>
      <c r="L14" s="223"/>
      <c r="M14" s="223"/>
      <c r="N14" s="223"/>
      <c r="O14" s="232">
        <f>O12*21</f>
        <v>180.6</v>
      </c>
      <c r="P14" s="234" t="s">
        <v>14</v>
      </c>
      <c r="R14" s="2">
        <f>SUM(R10:R13)</f>
        <v>4285.6612401659986</v>
      </c>
      <c r="S14" s="2">
        <f>SUM(S10:S13)</f>
        <v>25991.110341093256</v>
      </c>
    </row>
    <row r="15" spans="1:19" ht="15.75" customHeight="1" x14ac:dyDescent="0.25">
      <c r="A15" s="49" t="s">
        <v>79</v>
      </c>
      <c r="B15" s="48"/>
      <c r="C15" s="48"/>
      <c r="D15" s="48"/>
      <c r="E15" s="198">
        <v>0</v>
      </c>
      <c r="F15" s="198"/>
      <c r="G15" s="41" t="s">
        <v>128</v>
      </c>
      <c r="I15" s="28"/>
      <c r="J15" s="28"/>
      <c r="K15" s="223"/>
      <c r="L15" s="223"/>
      <c r="M15" s="223"/>
      <c r="N15" s="223"/>
      <c r="O15" s="233"/>
      <c r="P15" s="234"/>
      <c r="R15" s="31">
        <f>IFERROR(R14/O14,0)</f>
        <v>23.730128683089696</v>
      </c>
      <c r="S15" s="31">
        <f>IFERROR(S14/O16,0)</f>
        <v>24.459919387439538</v>
      </c>
    </row>
    <row r="16" spans="1:19" ht="15" customHeight="1" x14ac:dyDescent="0.25">
      <c r="A16" s="214" t="s">
        <v>84</v>
      </c>
      <c r="B16" s="215"/>
      <c r="C16" s="215"/>
      <c r="D16" s="215"/>
      <c r="E16" s="198" t="str">
        <f>IF($F$7=$D$95,F104,IF($F$7=$D$107,F116,IF($F$7=$N$95,Q104,IF($F$7=$O$107,P116,""))))</f>
        <v>ATÉ 59 ALUNOS</v>
      </c>
      <c r="F16" s="198"/>
      <c r="I16" s="28"/>
      <c r="J16" s="28"/>
      <c r="K16" s="223" t="s">
        <v>139</v>
      </c>
      <c r="L16" s="223"/>
      <c r="M16" s="223"/>
      <c r="N16" s="223"/>
      <c r="O16" s="232">
        <f>O13*21</f>
        <v>1062.6000000000001</v>
      </c>
      <c r="P16" s="234" t="s">
        <v>14</v>
      </c>
    </row>
    <row r="17" spans="1:22" ht="15" customHeight="1" x14ac:dyDescent="0.35">
      <c r="I17" s="28"/>
      <c r="J17" s="28"/>
      <c r="K17" s="223"/>
      <c r="L17" s="223"/>
      <c r="M17" s="223"/>
      <c r="N17" s="223"/>
      <c r="O17" s="233"/>
      <c r="P17" s="234"/>
      <c r="R17" s="2">
        <f>R14+S14</f>
        <v>30276.771581259254</v>
      </c>
      <c r="T17" s="235"/>
      <c r="U17" s="235"/>
      <c r="V17" s="235"/>
    </row>
    <row r="18" spans="1:22" ht="15" customHeight="1" x14ac:dyDescent="0.25">
      <c r="I18" s="28"/>
      <c r="J18" s="28"/>
      <c r="K18" s="223" t="s">
        <v>140</v>
      </c>
      <c r="L18" s="223"/>
      <c r="M18" s="223"/>
      <c r="N18" s="223"/>
      <c r="O18" s="46">
        <f>O16+O14</f>
        <v>1243.2</v>
      </c>
      <c r="P18" s="47" t="s">
        <v>14</v>
      </c>
      <c r="R18" s="2">
        <f>R17/O18</f>
        <v>24.353902494577905</v>
      </c>
    </row>
    <row r="19" spans="1:22" ht="15.75" customHeight="1" x14ac:dyDescent="0.3">
      <c r="A19" s="224" t="s">
        <v>1</v>
      </c>
      <c r="B19" s="225"/>
      <c r="C19" s="225"/>
      <c r="D19" s="225"/>
      <c r="E19" s="225"/>
      <c r="F19" s="225"/>
      <c r="I19" s="29"/>
      <c r="J19" s="29"/>
      <c r="K19" s="29"/>
      <c r="L19" s="29"/>
      <c r="M19" s="29"/>
    </row>
    <row r="20" spans="1:22" ht="15" customHeight="1" thickBot="1" x14ac:dyDescent="0.3">
      <c r="A20" s="206" t="s">
        <v>106</v>
      </c>
      <c r="B20" s="206"/>
      <c r="C20" s="206"/>
      <c r="D20" s="206"/>
      <c r="E20" s="206"/>
      <c r="F20" s="206"/>
      <c r="I20" s="28"/>
      <c r="J20" s="28"/>
      <c r="K20" s="28"/>
      <c r="L20" s="28"/>
      <c r="M20" s="28"/>
      <c r="O20" s="93">
        <f>K90</f>
        <v>24.353902494577905</v>
      </c>
      <c r="R20" s="93">
        <f>K90</f>
        <v>24.353902494577905</v>
      </c>
    </row>
    <row r="21" spans="1:22" x14ac:dyDescent="0.25">
      <c r="H21" s="245" t="s">
        <v>317</v>
      </c>
      <c r="I21" s="246"/>
      <c r="J21" s="246"/>
      <c r="K21" s="246"/>
      <c r="L21" s="246"/>
      <c r="M21" s="246"/>
      <c r="N21" s="247"/>
      <c r="O21" s="2"/>
    </row>
    <row r="22" spans="1:22" ht="15.75" thickBot="1" x14ac:dyDescent="0.3">
      <c r="H22" s="248"/>
      <c r="I22" s="249"/>
      <c r="J22" s="249"/>
      <c r="K22" s="249"/>
      <c r="L22" s="249"/>
      <c r="M22" s="249"/>
      <c r="N22" s="250"/>
    </row>
    <row r="23" spans="1:22" ht="17.25" x14ac:dyDescent="0.3">
      <c r="A23" s="224" t="s">
        <v>2</v>
      </c>
      <c r="B23" s="225"/>
      <c r="C23" s="225"/>
      <c r="D23" s="225"/>
      <c r="E23" s="225"/>
      <c r="F23" s="225"/>
      <c r="L23" s="2"/>
    </row>
    <row r="24" spans="1:22" ht="15.75" x14ac:dyDescent="0.25">
      <c r="A24" s="214" t="s">
        <v>11</v>
      </c>
      <c r="B24" s="215"/>
      <c r="C24" s="215"/>
      <c r="D24" s="215"/>
      <c r="E24" s="198">
        <f>IF($F$7=$D$95,F100,IF($F$7=$D$107,F112,IF($F$7=$N$95,Q100,IF($F$7=$O$107,P112,""))))</f>
        <v>6</v>
      </c>
      <c r="F24" s="198"/>
    </row>
    <row r="25" spans="1:22" ht="15.75" x14ac:dyDescent="0.25">
      <c r="A25" s="214" t="s">
        <v>9</v>
      </c>
      <c r="B25" s="215"/>
      <c r="C25" s="215"/>
      <c r="D25" s="216"/>
      <c r="E25" s="218">
        <f>Insumos!$B$5</f>
        <v>2453.2399999999998</v>
      </c>
      <c r="F25" s="218"/>
    </row>
    <row r="26" spans="1:22" ht="15.75" x14ac:dyDescent="0.25">
      <c r="A26" s="214" t="s">
        <v>147</v>
      </c>
      <c r="B26" s="215"/>
      <c r="C26" s="215"/>
      <c r="D26" s="216"/>
      <c r="E26" s="219">
        <v>2</v>
      </c>
      <c r="F26" s="220"/>
    </row>
    <row r="27" spans="1:22" ht="15.75" x14ac:dyDescent="0.25">
      <c r="A27" s="214" t="s">
        <v>148</v>
      </c>
      <c r="B27" s="215"/>
      <c r="C27" s="215"/>
      <c r="D27" s="216"/>
      <c r="E27" s="221">
        <f>Insumos!$B$6</f>
        <v>975.83</v>
      </c>
      <c r="F27" s="222"/>
    </row>
    <row r="28" spans="1:22" ht="15.75" x14ac:dyDescent="0.25">
      <c r="A28" s="214" t="s">
        <v>149</v>
      </c>
      <c r="B28" s="215"/>
      <c r="C28" s="215"/>
      <c r="D28" s="216"/>
      <c r="E28" s="217">
        <v>100000</v>
      </c>
      <c r="F28" s="217"/>
    </row>
    <row r="31" spans="1:22" ht="15.75" x14ac:dyDescent="0.25">
      <c r="A31" s="191" t="s">
        <v>3</v>
      </c>
      <c r="B31" s="192"/>
      <c r="C31" s="192"/>
      <c r="D31" s="192"/>
      <c r="E31" s="192"/>
      <c r="F31" s="192"/>
    </row>
    <row r="32" spans="1:22" ht="15.75" x14ac:dyDescent="0.25">
      <c r="A32" s="214" t="s">
        <v>19</v>
      </c>
      <c r="B32" s="215"/>
      <c r="C32" s="215"/>
      <c r="D32" s="216"/>
      <c r="E32" s="218">
        <f>Insumos!$B$7</f>
        <v>7.6</v>
      </c>
      <c r="F32" s="218"/>
    </row>
    <row r="33" spans="1:14" ht="15.75" x14ac:dyDescent="0.25">
      <c r="A33" s="214" t="s">
        <v>17</v>
      </c>
      <c r="B33" s="215"/>
      <c r="C33" s="215"/>
      <c r="D33" s="216"/>
      <c r="E33" s="46">
        <f>IF($F$7=$D$95,G103,IF($F$7=$D$107,G115,IF($F$7=$N$95,Q103,IF($F$7=$O$107,Q115,""))))</f>
        <v>2.6</v>
      </c>
      <c r="F33" s="50" t="s">
        <v>18</v>
      </c>
    </row>
    <row r="36" spans="1:14" ht="17.25" x14ac:dyDescent="0.3">
      <c r="A36" s="208" t="s">
        <v>20</v>
      </c>
      <c r="B36" s="209"/>
      <c r="C36" s="209"/>
      <c r="D36" s="209"/>
      <c r="E36" s="209"/>
    </row>
    <row r="37" spans="1:14" x14ac:dyDescent="0.25">
      <c r="B37" s="210"/>
      <c r="C37" s="210"/>
      <c r="D37" s="211"/>
      <c r="E37" s="212" t="s">
        <v>4</v>
      </c>
      <c r="F37" s="213"/>
    </row>
    <row r="38" spans="1:14" ht="15.75" x14ac:dyDescent="0.25">
      <c r="A38" s="46" t="s">
        <v>346</v>
      </c>
      <c r="B38" s="214" t="s">
        <v>52</v>
      </c>
      <c r="C38" s="215"/>
      <c r="D38" s="216"/>
      <c r="E38" s="46">
        <f>1/E33</f>
        <v>0.38461538461538458</v>
      </c>
      <c r="F38" s="7" t="s">
        <v>5</v>
      </c>
      <c r="G38" s="7"/>
      <c r="H38" s="7"/>
      <c r="I38" s="7"/>
      <c r="J38" s="7"/>
      <c r="K38" s="58">
        <f>E32*E38</f>
        <v>2.9230769230769225</v>
      </c>
      <c r="L38" s="51" t="s">
        <v>13</v>
      </c>
      <c r="N38" s="2"/>
    </row>
    <row r="39" spans="1:14" ht="15.75" x14ac:dyDescent="0.25">
      <c r="A39" s="46" t="s">
        <v>6</v>
      </c>
      <c r="B39" s="206" t="s">
        <v>152</v>
      </c>
      <c r="C39" s="206"/>
      <c r="D39" s="206"/>
      <c r="E39" s="46">
        <v>0.04</v>
      </c>
      <c r="F39" s="7" t="s">
        <v>5</v>
      </c>
      <c r="G39" s="7"/>
      <c r="H39" s="7"/>
      <c r="I39" s="7"/>
      <c r="J39" s="7"/>
      <c r="K39" s="58">
        <f>E39*E32</f>
        <v>0.30399999999999999</v>
      </c>
      <c r="L39" s="51" t="s">
        <v>13</v>
      </c>
    </row>
    <row r="40" spans="1:14" ht="15.75" x14ac:dyDescent="0.25">
      <c r="A40" s="46" t="s">
        <v>7</v>
      </c>
      <c r="B40" s="206" t="s">
        <v>8</v>
      </c>
      <c r="C40" s="206"/>
      <c r="D40" s="206"/>
      <c r="E40" s="46"/>
      <c r="F40" s="7"/>
      <c r="G40" s="7"/>
      <c r="H40" s="7"/>
      <c r="I40" s="7"/>
      <c r="J40" s="7"/>
      <c r="K40" s="58">
        <f>((E25*E24)+(E26*E24*E27))/E28</f>
        <v>0.26429400000000003</v>
      </c>
      <c r="L40" s="51" t="s">
        <v>13</v>
      </c>
    </row>
    <row r="41" spans="1:14" ht="15.75" x14ac:dyDescent="0.25">
      <c r="A41" s="46" t="s">
        <v>12</v>
      </c>
      <c r="B41" s="206" t="s">
        <v>153</v>
      </c>
      <c r="C41" s="206"/>
      <c r="D41" s="206"/>
      <c r="E41" s="70">
        <v>3.0000000000000001E-6</v>
      </c>
      <c r="F41" s="193" t="s">
        <v>10</v>
      </c>
      <c r="G41" s="193"/>
      <c r="H41" s="193"/>
      <c r="I41" s="7"/>
      <c r="J41" s="7"/>
      <c r="K41" s="58">
        <f>(E41*E12)-(K40)</f>
        <v>1.32891114</v>
      </c>
      <c r="L41" s="51" t="s">
        <v>13</v>
      </c>
    </row>
    <row r="42" spans="1:14" ht="15.75" x14ac:dyDescent="0.25">
      <c r="A42" s="207"/>
      <c r="B42" s="207"/>
      <c r="C42" s="207"/>
      <c r="D42" s="207"/>
      <c r="E42" s="207"/>
      <c r="F42" s="7"/>
      <c r="G42" s="7"/>
      <c r="H42" s="7"/>
      <c r="I42" s="7"/>
      <c r="J42" s="7"/>
      <c r="K42" s="58">
        <f>SUM(K38:K41)</f>
        <v>4.8202820630769221</v>
      </c>
      <c r="L42" s="51" t="s">
        <v>13</v>
      </c>
    </row>
    <row r="43" spans="1:14" ht="21" customHeight="1" x14ac:dyDescent="0.25">
      <c r="A43" s="200" t="s">
        <v>144</v>
      </c>
      <c r="B43" s="200"/>
      <c r="C43" s="200"/>
      <c r="D43" s="200"/>
      <c r="E43" s="200"/>
      <c r="F43" s="200"/>
      <c r="G43" s="200"/>
      <c r="H43" s="200"/>
      <c r="I43" s="200"/>
      <c r="J43" s="200"/>
      <c r="K43" s="68">
        <f>K42*O14</f>
        <v>870.54294059169206</v>
      </c>
      <c r="L43" s="52" t="s">
        <v>16</v>
      </c>
    </row>
    <row r="45" spans="1:14" ht="18.75" x14ac:dyDescent="0.3">
      <c r="A45" s="190" t="s">
        <v>145</v>
      </c>
      <c r="B45" s="190"/>
      <c r="C45" s="190"/>
      <c r="D45" s="190"/>
      <c r="E45" s="190"/>
      <c r="F45" s="190"/>
      <c r="G45" s="190"/>
      <c r="H45" s="190"/>
      <c r="I45" s="190"/>
      <c r="J45" s="190"/>
      <c r="K45" s="65">
        <f>K42*O16*1.1514</f>
        <v>5897.507322667685</v>
      </c>
      <c r="L45" s="53" t="s">
        <v>16</v>
      </c>
    </row>
    <row r="46" spans="1:14" ht="15.75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</row>
    <row r="47" spans="1:14" ht="18.75" x14ac:dyDescent="0.3">
      <c r="A47" s="190" t="s">
        <v>146</v>
      </c>
      <c r="B47" s="190"/>
      <c r="C47" s="190"/>
      <c r="D47" s="190"/>
      <c r="E47" s="190"/>
      <c r="F47" s="190"/>
      <c r="G47" s="190"/>
      <c r="H47" s="190"/>
      <c r="I47" s="190"/>
      <c r="J47" s="190"/>
      <c r="K47" s="65">
        <f>K43+K45</f>
        <v>6768.0502632593771</v>
      </c>
      <c r="L47" s="54" t="s">
        <v>16</v>
      </c>
    </row>
    <row r="49" spans="1:12" ht="15.75" x14ac:dyDescent="0.25">
      <c r="A49" s="197" t="s">
        <v>21</v>
      </c>
      <c r="B49" s="204"/>
      <c r="C49" s="204"/>
      <c r="D49" s="204"/>
      <c r="E49" s="204"/>
      <c r="F49" s="7"/>
      <c r="G49" s="7"/>
      <c r="H49" s="7"/>
      <c r="I49" s="7"/>
      <c r="J49" s="7"/>
      <c r="K49" s="7"/>
      <c r="L49" s="7"/>
    </row>
    <row r="50" spans="1:12" ht="15.75" x14ac:dyDescent="0.25">
      <c r="A50" s="3"/>
      <c r="B50" s="139"/>
      <c r="C50" s="139"/>
      <c r="D50" s="139"/>
      <c r="E50" s="139"/>
      <c r="F50" s="7"/>
      <c r="G50" s="7"/>
      <c r="H50" s="205" t="s">
        <v>25</v>
      </c>
      <c r="I50" s="205"/>
      <c r="J50" s="7"/>
      <c r="K50" s="7"/>
      <c r="L50" s="7"/>
    </row>
    <row r="51" spans="1:12" ht="15.75" x14ac:dyDescent="0.25">
      <c r="A51" s="7" t="s">
        <v>22</v>
      </c>
      <c r="B51" s="7"/>
      <c r="C51" s="193" t="s">
        <v>24</v>
      </c>
      <c r="D51" s="193"/>
      <c r="E51" s="193"/>
      <c r="F51" s="193"/>
      <c r="G51" s="7"/>
      <c r="H51" s="195"/>
      <c r="I51" s="195"/>
      <c r="J51" s="58"/>
      <c r="K51" s="129">
        <f>IF(L51="LINEAR",'DEPRECIAÇÃO LINEAR'!H23,(VLOOKUP(E15,'DEPRECIAÇÃO LINEAR'!W12:AM25,17,0)))</f>
        <v>3983.0128500000005</v>
      </c>
      <c r="L51" s="55" t="s">
        <v>130</v>
      </c>
    </row>
    <row r="52" spans="1:12" ht="15.75" x14ac:dyDescent="0.25">
      <c r="A52" s="7" t="s">
        <v>26</v>
      </c>
      <c r="B52" s="7"/>
      <c r="C52" s="193" t="s">
        <v>27</v>
      </c>
      <c r="D52" s="193"/>
      <c r="E52" s="193"/>
      <c r="F52" s="193"/>
      <c r="G52" s="7"/>
      <c r="H52" s="7"/>
      <c r="I52" s="7"/>
      <c r="J52" s="58"/>
      <c r="K52" s="58"/>
      <c r="L52" s="7"/>
    </row>
    <row r="53" spans="1:12" ht="15.75" x14ac:dyDescent="0.25">
      <c r="A53" s="7"/>
      <c r="B53" s="7" t="s">
        <v>31</v>
      </c>
      <c r="C53" s="193" t="s">
        <v>28</v>
      </c>
      <c r="D53" s="193"/>
      <c r="E53" s="193"/>
      <c r="F53" s="193"/>
      <c r="G53" s="7"/>
      <c r="H53" s="7"/>
      <c r="I53" s="7"/>
      <c r="J53" s="58"/>
      <c r="K53" s="58">
        <f>'Motorista de Veiculo Pesado'!E90</f>
        <v>8468.4608078400015</v>
      </c>
      <c r="L53" s="7"/>
    </row>
    <row r="54" spans="1:12" ht="15.75" x14ac:dyDescent="0.25">
      <c r="A54" s="7"/>
      <c r="B54" s="7" t="s">
        <v>32</v>
      </c>
      <c r="C54" s="193" t="s">
        <v>29</v>
      </c>
      <c r="D54" s="193"/>
      <c r="E54" s="193"/>
      <c r="F54" s="193"/>
      <c r="G54" s="7"/>
      <c r="H54" s="7"/>
      <c r="I54" s="7"/>
      <c r="J54" s="58"/>
      <c r="K54" s="58">
        <f>'Monitor de Transporte Escolar'!E90</f>
        <v>4485.726463695999</v>
      </c>
      <c r="L54" s="7"/>
    </row>
    <row r="55" spans="1:12" ht="15.75" x14ac:dyDescent="0.25">
      <c r="A55" s="7" t="s">
        <v>30</v>
      </c>
      <c r="B55" s="7"/>
      <c r="C55" s="193" t="s">
        <v>34</v>
      </c>
      <c r="D55" s="193"/>
      <c r="E55" s="193"/>
      <c r="F55" s="193"/>
      <c r="G55" s="7"/>
      <c r="H55" s="7"/>
      <c r="I55" s="7"/>
      <c r="J55" s="58"/>
      <c r="K55" s="58"/>
      <c r="L55" s="141"/>
    </row>
    <row r="56" spans="1:12" ht="15.75" x14ac:dyDescent="0.25">
      <c r="A56" s="7"/>
      <c r="B56" s="7" t="s">
        <v>33</v>
      </c>
      <c r="C56" s="7" t="s">
        <v>35</v>
      </c>
      <c r="D56" s="7"/>
      <c r="E56" s="7"/>
      <c r="F56" s="7"/>
      <c r="G56" s="7"/>
      <c r="H56" s="7"/>
      <c r="I56" s="7"/>
      <c r="J56" s="58">
        <f>1/100*E12</f>
        <v>5310.6837999999998</v>
      </c>
      <c r="K56" s="58">
        <f>J56/12</f>
        <v>442.55698333333333</v>
      </c>
      <c r="L56" s="7"/>
    </row>
    <row r="57" spans="1:12" ht="15.75" x14ac:dyDescent="0.25">
      <c r="A57" s="7"/>
      <c r="B57" s="7" t="s">
        <v>36</v>
      </c>
      <c r="C57" s="7" t="s">
        <v>37</v>
      </c>
      <c r="D57" s="7"/>
      <c r="E57" s="7"/>
      <c r="F57" s="7"/>
      <c r="G57" s="7"/>
      <c r="H57" s="7"/>
      <c r="I57" s="7"/>
      <c r="J57" s="58">
        <v>230.25</v>
      </c>
      <c r="K57" s="58">
        <f>J57/12</f>
        <v>19.1875</v>
      </c>
      <c r="L57" s="7"/>
    </row>
    <row r="58" spans="1:12" ht="15.75" x14ac:dyDescent="0.25">
      <c r="A58" s="7"/>
      <c r="B58" s="7" t="s">
        <v>38</v>
      </c>
      <c r="C58" s="193" t="s">
        <v>39</v>
      </c>
      <c r="D58" s="193"/>
      <c r="E58" s="193"/>
      <c r="F58" s="193"/>
      <c r="G58" s="7"/>
      <c r="H58" s="7"/>
      <c r="I58" s="7"/>
      <c r="J58" s="58">
        <v>161.80000000000001</v>
      </c>
      <c r="K58" s="58">
        <f>J58/12</f>
        <v>13.483333333333334</v>
      </c>
      <c r="L58" s="7"/>
    </row>
    <row r="59" spans="1:12" ht="15.75" x14ac:dyDescent="0.25">
      <c r="A59" s="7" t="s">
        <v>41</v>
      </c>
      <c r="B59" s="7"/>
      <c r="C59" s="7" t="s">
        <v>40</v>
      </c>
      <c r="D59" s="7"/>
      <c r="E59" s="7"/>
      <c r="F59" s="7"/>
      <c r="G59" s="7"/>
      <c r="H59" s="7"/>
      <c r="I59" s="7"/>
      <c r="J59" s="58">
        <v>0</v>
      </c>
      <c r="K59" s="58">
        <f>J59/12</f>
        <v>0</v>
      </c>
      <c r="L59" s="7"/>
    </row>
    <row r="60" spans="1:12" ht="15.75" x14ac:dyDescent="0.25">
      <c r="A60" s="7" t="s">
        <v>57</v>
      </c>
      <c r="B60" s="7"/>
      <c r="C60" s="193" t="s">
        <v>58</v>
      </c>
      <c r="D60" s="193"/>
      <c r="E60" s="193"/>
      <c r="F60" s="193"/>
      <c r="G60" s="193"/>
      <c r="H60" s="7"/>
      <c r="I60" s="7"/>
      <c r="J60" s="58">
        <f>Insumos!$B$8</f>
        <v>350.88</v>
      </c>
      <c r="K60" s="58">
        <f>4*J60</f>
        <v>1403.52</v>
      </c>
      <c r="L60" s="7"/>
    </row>
    <row r="61" spans="1:12" ht="15.75" x14ac:dyDescent="0.25">
      <c r="A61" s="7" t="s">
        <v>60</v>
      </c>
      <c r="B61" s="7"/>
      <c r="C61" s="139" t="s">
        <v>63</v>
      </c>
      <c r="D61" s="139"/>
      <c r="E61" s="139"/>
      <c r="F61" s="139"/>
      <c r="G61" s="139"/>
      <c r="H61" s="7"/>
      <c r="I61" s="7"/>
      <c r="J61" s="58">
        <f>Insumos!$B$9</f>
        <v>2680.95</v>
      </c>
      <c r="K61" s="58">
        <f>J61/12</f>
        <v>223.41249999999999</v>
      </c>
      <c r="L61" s="7"/>
    </row>
    <row r="62" spans="1:12" ht="15.75" x14ac:dyDescent="0.25">
      <c r="A62" s="7" t="s">
        <v>61</v>
      </c>
      <c r="B62" s="7"/>
      <c r="C62" s="193" t="s">
        <v>62</v>
      </c>
      <c r="D62" s="193"/>
      <c r="E62" s="193"/>
      <c r="F62" s="139"/>
      <c r="G62" s="139"/>
      <c r="H62" s="7"/>
      <c r="I62" s="7"/>
      <c r="J62" s="60">
        <f>Insumos!$B$10</f>
        <v>932.23</v>
      </c>
      <c r="K62" s="58">
        <f>J62/12</f>
        <v>77.685833333333335</v>
      </c>
      <c r="L62" s="7"/>
    </row>
    <row r="63" spans="1:12" ht="15.75" x14ac:dyDescent="0.25">
      <c r="A63" s="7" t="s">
        <v>142</v>
      </c>
      <c r="B63" s="7"/>
      <c r="C63" s="203" t="s">
        <v>143</v>
      </c>
      <c r="D63" s="203"/>
      <c r="E63" s="203"/>
      <c r="F63" s="203"/>
      <c r="G63" s="164"/>
      <c r="H63" s="7"/>
      <c r="I63" s="7"/>
      <c r="J63" s="60">
        <f>Insumos!$B$11</f>
        <v>471.82</v>
      </c>
      <c r="K63" s="72">
        <f>J63/24</f>
        <v>19.659166666666668</v>
      </c>
      <c r="L63" s="7"/>
    </row>
    <row r="64" spans="1:12" ht="15.75" x14ac:dyDescent="0.25">
      <c r="A64" s="7" t="s">
        <v>340</v>
      </c>
      <c r="B64" s="7"/>
      <c r="C64" s="165" t="s">
        <v>343</v>
      </c>
      <c r="D64" s="165"/>
      <c r="E64" s="165"/>
      <c r="F64" s="165"/>
      <c r="G64" s="164"/>
      <c r="H64" s="7"/>
      <c r="I64" s="7"/>
      <c r="J64" s="60">
        <f>Insumos!$B$12</f>
        <v>14.372399999999997</v>
      </c>
      <c r="K64" s="72">
        <f>J64/60</f>
        <v>0.23953999999999995</v>
      </c>
      <c r="L64" s="7"/>
    </row>
    <row r="65" spans="1:13" ht="20.25" customHeight="1" x14ac:dyDescent="0.25">
      <c r="A65" s="200" t="s">
        <v>43</v>
      </c>
      <c r="B65" s="200"/>
      <c r="C65" s="200"/>
      <c r="D65" s="200"/>
      <c r="E65" s="200"/>
      <c r="F65" s="200"/>
      <c r="G65" s="200"/>
      <c r="H65" s="200"/>
      <c r="I65" s="200"/>
      <c r="J65" s="200"/>
      <c r="K65" s="67">
        <f>SUM(K51:K64)</f>
        <v>19136.944978202664</v>
      </c>
      <c r="L65" s="57" t="s">
        <v>16</v>
      </c>
      <c r="M65" s="4"/>
    </row>
    <row r="67" spans="1:13" ht="19.5" customHeight="1" x14ac:dyDescent="0.3">
      <c r="A67" s="201" t="s">
        <v>132</v>
      </c>
      <c r="B67" s="201"/>
      <c r="C67" s="201"/>
      <c r="D67" s="201"/>
      <c r="E67" s="201"/>
      <c r="F67" s="201"/>
      <c r="G67" s="201"/>
      <c r="H67" s="201"/>
      <c r="I67" s="201"/>
      <c r="K67" s="66">
        <f>K47+K65</f>
        <v>25904.995241462042</v>
      </c>
    </row>
    <row r="69" spans="1:13" ht="15.75" x14ac:dyDescent="0.25">
      <c r="A69" s="197" t="s">
        <v>133</v>
      </c>
      <c r="B69" s="197"/>
      <c r="C69" s="197"/>
      <c r="D69" s="197"/>
      <c r="E69" s="197"/>
      <c r="I69" s="202" t="s">
        <v>55</v>
      </c>
      <c r="J69" s="202"/>
    </row>
    <row r="70" spans="1:13" ht="15.75" x14ac:dyDescent="0.25">
      <c r="A70" s="7" t="s">
        <v>341</v>
      </c>
      <c r="B70" s="7"/>
      <c r="C70" s="193" t="s">
        <v>54</v>
      </c>
      <c r="D70" s="193"/>
      <c r="E70" s="193"/>
      <c r="F70" s="193"/>
      <c r="G70" s="7"/>
      <c r="H70" s="7"/>
      <c r="I70" s="168">
        <f>Insumos!$B$15</f>
        <v>2.6599999999999999E-2</v>
      </c>
      <c r="J70" s="7"/>
      <c r="K70" s="58">
        <f>I70*K67</f>
        <v>689.07287342289032</v>
      </c>
      <c r="L70" s="7"/>
    </row>
    <row r="71" spans="1:13" ht="15.75" x14ac:dyDescent="0.25">
      <c r="A71" s="7" t="s">
        <v>342</v>
      </c>
      <c r="B71" s="7"/>
      <c r="C71" s="193" t="s">
        <v>59</v>
      </c>
      <c r="D71" s="193"/>
      <c r="E71" s="193"/>
      <c r="F71" s="193"/>
      <c r="G71" s="7"/>
      <c r="H71" s="7"/>
      <c r="I71" s="169">
        <f>Insumos!$B$16</f>
        <v>0.04</v>
      </c>
      <c r="J71" s="7"/>
      <c r="K71" s="58">
        <f>I71*(K67+K70)</f>
        <v>1063.7627245953972</v>
      </c>
      <c r="L71" s="7"/>
    </row>
    <row r="72" spans="1:13" ht="18.75" x14ac:dyDescent="0.3">
      <c r="A72" s="7"/>
      <c r="B72" s="7"/>
      <c r="C72" s="7"/>
      <c r="D72" s="7"/>
      <c r="E72" s="7"/>
      <c r="F72" s="7"/>
      <c r="G72" s="7"/>
      <c r="H72" s="7"/>
      <c r="I72" s="7"/>
      <c r="J72" s="61" t="s">
        <v>131</v>
      </c>
      <c r="K72" s="65">
        <f>SUM(K70:K71)</f>
        <v>1752.8355980182876</v>
      </c>
      <c r="L72" s="54" t="s">
        <v>16</v>
      </c>
    </row>
    <row r="74" spans="1:13" ht="15.75" x14ac:dyDescent="0.25">
      <c r="A74" s="197" t="s">
        <v>134</v>
      </c>
      <c r="B74" s="197"/>
      <c r="C74" s="197"/>
      <c r="D74" s="197"/>
      <c r="E74" s="197"/>
      <c r="F74" s="7"/>
      <c r="G74" s="7"/>
      <c r="H74" s="7"/>
      <c r="I74" s="7"/>
      <c r="J74" s="7"/>
      <c r="K74" s="7"/>
      <c r="L74" s="7"/>
    </row>
    <row r="75" spans="1:13" ht="15.75" x14ac:dyDescent="0.25">
      <c r="A75" s="193" t="s">
        <v>42</v>
      </c>
      <c r="B75" s="193"/>
      <c r="C75" s="193"/>
      <c r="D75" s="193"/>
      <c r="E75" s="193"/>
      <c r="F75" s="193"/>
      <c r="G75" s="7"/>
      <c r="H75" s="7"/>
      <c r="I75" s="198" t="s">
        <v>47</v>
      </c>
      <c r="J75" s="198"/>
      <c r="K75" s="51">
        <f>K67+K72</f>
        <v>27657.830839480328</v>
      </c>
      <c r="L75" s="7"/>
    </row>
    <row r="76" spans="1:13" ht="15.75" x14ac:dyDescent="0.25">
      <c r="A76" s="7" t="s">
        <v>53</v>
      </c>
      <c r="C76" s="7" t="s">
        <v>44</v>
      </c>
      <c r="D76" s="7"/>
      <c r="E76" s="7"/>
      <c r="F76" s="7"/>
      <c r="G76" s="7"/>
      <c r="H76" s="7"/>
      <c r="I76" s="199">
        <f>Insumos!$B$18</f>
        <v>0.05</v>
      </c>
      <c r="J76" s="199"/>
      <c r="K76" s="51">
        <f>$K$75/(1-(SUM($I$76:$J$78)))*I76</f>
        <v>1513.8385790629627</v>
      </c>
      <c r="L76" s="7"/>
    </row>
    <row r="77" spans="1:13" ht="15.75" x14ac:dyDescent="0.25">
      <c r="A77" s="7" t="s">
        <v>344</v>
      </c>
      <c r="C77" s="7" t="s">
        <v>45</v>
      </c>
      <c r="D77" s="7"/>
      <c r="E77" s="7"/>
      <c r="F77" s="7"/>
      <c r="G77" s="7"/>
      <c r="H77" s="7"/>
      <c r="I77" s="199">
        <f>Insumos!$B$19</f>
        <v>6.4999999999999997E-3</v>
      </c>
      <c r="J77" s="199"/>
      <c r="K77" s="51">
        <f>$K$75/(1-(SUM($I$76:$J$78)))*I77</f>
        <v>196.79901527818515</v>
      </c>
      <c r="L77" s="7"/>
    </row>
    <row r="78" spans="1:13" ht="15.75" x14ac:dyDescent="0.25">
      <c r="A78" s="7" t="s">
        <v>345</v>
      </c>
      <c r="C78" s="7" t="s">
        <v>46</v>
      </c>
      <c r="D78" s="7"/>
      <c r="E78" s="7"/>
      <c r="F78" s="7"/>
      <c r="G78" s="7"/>
      <c r="H78" s="7"/>
      <c r="I78" s="199">
        <f>Insumos!$B$20</f>
        <v>0.03</v>
      </c>
      <c r="J78" s="199"/>
      <c r="K78" s="51">
        <f>$K$75/(1-(SUM($I$76:$J$78)))*I78</f>
        <v>908.30314743777762</v>
      </c>
      <c r="L78" s="7"/>
    </row>
    <row r="79" spans="1:13" ht="21" customHeight="1" x14ac:dyDescent="0.3">
      <c r="A79" s="190" t="s">
        <v>48</v>
      </c>
      <c r="B79" s="190"/>
      <c r="C79" s="190"/>
      <c r="D79" s="190"/>
      <c r="E79" s="190"/>
      <c r="F79" s="190"/>
      <c r="G79" s="190"/>
      <c r="H79" s="190"/>
      <c r="I79" s="190"/>
      <c r="J79" s="190"/>
      <c r="K79" s="64">
        <f>SUM(K76:K78)</f>
        <v>2618.9407417789253</v>
      </c>
      <c r="L79" s="54" t="s">
        <v>16</v>
      </c>
    </row>
    <row r="81" spans="1:20" x14ac:dyDescent="0.25">
      <c r="C81" s="5"/>
      <c r="D81" s="5"/>
      <c r="E81" s="5"/>
      <c r="F81" s="5"/>
      <c r="K81" s="2"/>
    </row>
    <row r="82" spans="1:20" ht="15.75" x14ac:dyDescent="0.25">
      <c r="A82" s="191" t="s">
        <v>56</v>
      </c>
      <c r="B82" s="191"/>
      <c r="C82" s="191"/>
      <c r="D82" s="191"/>
      <c r="E82" s="191"/>
      <c r="F82" s="191"/>
      <c r="G82" s="191"/>
      <c r="H82" s="191"/>
      <c r="I82" s="191"/>
      <c r="T82" s="43"/>
    </row>
    <row r="83" spans="1:20" ht="15.75" x14ac:dyDescent="0.25">
      <c r="A83" s="140"/>
      <c r="B83" s="140"/>
      <c r="C83" s="140"/>
      <c r="D83" s="140"/>
      <c r="E83" s="140"/>
      <c r="F83" s="140"/>
      <c r="G83" s="140"/>
      <c r="H83" s="140"/>
      <c r="I83" s="140"/>
    </row>
    <row r="84" spans="1:20" ht="15.75" x14ac:dyDescent="0.25">
      <c r="A84" s="191" t="s">
        <v>51</v>
      </c>
      <c r="B84" s="192"/>
      <c r="C84" s="192"/>
      <c r="D84" s="192"/>
      <c r="E84" s="192"/>
      <c r="F84" s="192"/>
      <c r="G84" s="192"/>
      <c r="H84" s="192"/>
    </row>
    <row r="85" spans="1:20" ht="20.25" customHeight="1" x14ac:dyDescent="0.3">
      <c r="A85" s="193" t="s">
        <v>135</v>
      </c>
      <c r="B85" s="193"/>
      <c r="C85" s="193"/>
      <c r="D85" s="193"/>
      <c r="E85" s="193"/>
      <c r="F85" s="193"/>
      <c r="G85" s="193"/>
      <c r="H85" s="193"/>
      <c r="I85" s="193"/>
      <c r="J85" s="193"/>
      <c r="K85" s="62">
        <f>K67+K72+K79</f>
        <v>30276.771581259254</v>
      </c>
    </row>
    <row r="86" spans="1:20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2"/>
    </row>
    <row r="87" spans="1:20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2"/>
      <c r="P87" s="42"/>
    </row>
    <row r="88" spans="1:20" ht="8.25" customHeight="1" x14ac:dyDescent="0.25"/>
    <row r="89" spans="1:20" ht="16.5" customHeight="1" x14ac:dyDescent="0.25">
      <c r="A89" s="194" t="s">
        <v>49</v>
      </c>
      <c r="B89" s="195"/>
      <c r="C89" s="195"/>
      <c r="D89" s="195"/>
      <c r="E89" s="195"/>
      <c r="F89" s="195"/>
      <c r="G89" s="195"/>
      <c r="H89" s="195"/>
      <c r="I89" s="195"/>
      <c r="J89" s="195"/>
      <c r="K89" s="7"/>
      <c r="L89" s="7"/>
    </row>
    <row r="90" spans="1:20" ht="24.75" customHeight="1" x14ac:dyDescent="0.3">
      <c r="A90" s="196" t="s">
        <v>141</v>
      </c>
      <c r="B90" s="196"/>
      <c r="C90" s="196"/>
      <c r="D90" s="196"/>
      <c r="E90" s="196"/>
      <c r="F90" s="196"/>
      <c r="G90" s="196"/>
      <c r="H90" s="196"/>
      <c r="I90" s="196"/>
      <c r="J90" s="196"/>
      <c r="K90" s="71">
        <f>K85/O18</f>
        <v>24.353902494577905</v>
      </c>
      <c r="L90" s="63" t="s">
        <v>50</v>
      </c>
    </row>
    <row r="94" spans="1:20" s="10" customFormat="1" x14ac:dyDescent="0.25"/>
    <row r="95" spans="1:20" s="11" customFormat="1" ht="18.75" x14ac:dyDescent="0.3">
      <c r="B95" s="12" t="s">
        <v>69</v>
      </c>
      <c r="D95" s="188" t="s">
        <v>65</v>
      </c>
      <c r="E95" s="188"/>
      <c r="L95" s="12" t="s">
        <v>69</v>
      </c>
      <c r="M95" s="12"/>
      <c r="N95" s="12" t="s">
        <v>75</v>
      </c>
      <c r="O95" s="12"/>
    </row>
    <row r="96" spans="1:20" s="11" customFormat="1" x14ac:dyDescent="0.25"/>
    <row r="97" spans="2:18" s="11" customFormat="1" x14ac:dyDescent="0.25">
      <c r="B97" s="184" t="s">
        <v>66</v>
      </c>
      <c r="C97" s="184"/>
      <c r="D97" s="13"/>
      <c r="E97" s="13"/>
      <c r="F97" s="189">
        <v>288912</v>
      </c>
      <c r="G97" s="189"/>
      <c r="L97" s="13" t="s">
        <v>66</v>
      </c>
      <c r="M97" s="13"/>
      <c r="N97" s="13"/>
      <c r="O97" s="13"/>
      <c r="P97" s="13"/>
      <c r="Q97" s="30">
        <v>271500</v>
      </c>
    </row>
    <row r="98" spans="2:18" s="11" customFormat="1" x14ac:dyDescent="0.25">
      <c r="B98" s="13" t="s">
        <v>67</v>
      </c>
      <c r="D98" s="13"/>
      <c r="E98" s="13"/>
      <c r="F98" s="185">
        <v>10</v>
      </c>
      <c r="G98" s="185"/>
      <c r="H98" s="11" t="s">
        <v>154</v>
      </c>
      <c r="L98" s="13" t="s">
        <v>67</v>
      </c>
      <c r="M98" s="13"/>
      <c r="N98" s="13"/>
      <c r="O98" s="13"/>
      <c r="P98" s="13"/>
      <c r="Q98" s="13">
        <v>10</v>
      </c>
      <c r="R98" s="11" t="s">
        <v>154</v>
      </c>
    </row>
    <row r="99" spans="2:18" s="11" customFormat="1" x14ac:dyDescent="0.25">
      <c r="B99" s="13" t="s">
        <v>81</v>
      </c>
      <c r="D99" s="13"/>
      <c r="E99" s="13"/>
      <c r="F99" s="137"/>
      <c r="G99" s="137">
        <v>2018</v>
      </c>
      <c r="L99" s="13" t="s">
        <v>81</v>
      </c>
      <c r="N99" s="13"/>
      <c r="O99" s="13"/>
      <c r="P99" s="137"/>
      <c r="Q99" s="137">
        <v>2018</v>
      </c>
    </row>
    <row r="100" spans="2:18" s="11" customFormat="1" x14ac:dyDescent="0.25">
      <c r="B100" s="184" t="s">
        <v>68</v>
      </c>
      <c r="C100" s="184"/>
      <c r="D100" s="184"/>
      <c r="F100" s="185">
        <v>6</v>
      </c>
      <c r="G100" s="185"/>
      <c r="L100" s="13" t="s">
        <v>76</v>
      </c>
      <c r="M100" s="13"/>
      <c r="N100" s="13"/>
      <c r="O100" s="13"/>
      <c r="P100" s="13"/>
      <c r="Q100" s="13">
        <v>6</v>
      </c>
    </row>
    <row r="101" spans="2:18" s="11" customFormat="1" x14ac:dyDescent="0.25">
      <c r="B101" s="184" t="s">
        <v>71</v>
      </c>
      <c r="C101" s="184"/>
      <c r="D101" s="184"/>
      <c r="F101" s="137"/>
      <c r="G101" s="17">
        <v>100000</v>
      </c>
      <c r="L101" s="13" t="s">
        <v>71</v>
      </c>
      <c r="M101" s="13"/>
      <c r="N101" s="13"/>
      <c r="O101" s="13"/>
      <c r="P101" s="13"/>
      <c r="Q101" s="19">
        <v>100000</v>
      </c>
    </row>
    <row r="102" spans="2:18" s="11" customFormat="1" x14ac:dyDescent="0.25">
      <c r="B102" s="184" t="s">
        <v>72</v>
      </c>
      <c r="C102" s="184"/>
      <c r="D102" s="184"/>
      <c r="F102" s="137"/>
      <c r="G102" s="138">
        <v>1533.77</v>
      </c>
      <c r="L102" s="13" t="s">
        <v>72</v>
      </c>
      <c r="M102" s="13"/>
      <c r="N102" s="13"/>
      <c r="O102" s="13"/>
      <c r="P102" s="13"/>
      <c r="Q102" s="69">
        <v>860.69</v>
      </c>
    </row>
    <row r="103" spans="2:18" s="11" customFormat="1" x14ac:dyDescent="0.25">
      <c r="B103" s="184" t="s">
        <v>73</v>
      </c>
      <c r="C103" s="184"/>
      <c r="D103" s="136"/>
      <c r="F103" s="137"/>
      <c r="G103" s="137">
        <v>2.6</v>
      </c>
      <c r="H103" s="13" t="s">
        <v>74</v>
      </c>
      <c r="L103" s="13" t="s">
        <v>73</v>
      </c>
      <c r="M103" s="13"/>
      <c r="N103" s="13"/>
      <c r="O103" s="13"/>
      <c r="P103" s="13"/>
      <c r="Q103" s="13">
        <v>4.7</v>
      </c>
    </row>
    <row r="104" spans="2:18" s="11" customFormat="1" x14ac:dyDescent="0.25">
      <c r="B104" s="184" t="s">
        <v>70</v>
      </c>
      <c r="C104" s="184"/>
      <c r="D104" s="184"/>
      <c r="F104" s="185" t="s">
        <v>125</v>
      </c>
      <c r="G104" s="185"/>
      <c r="L104" s="13" t="s">
        <v>70</v>
      </c>
      <c r="M104" s="13"/>
      <c r="N104" s="13"/>
      <c r="O104" s="13"/>
      <c r="P104" s="13"/>
      <c r="Q104" s="13" t="s">
        <v>124</v>
      </c>
    </row>
    <row r="105" spans="2:18" s="11" customFormat="1" x14ac:dyDescent="0.25"/>
    <row r="106" spans="2:18" s="11" customFormat="1" x14ac:dyDescent="0.25"/>
    <row r="107" spans="2:18" s="11" customFormat="1" ht="18.75" x14ac:dyDescent="0.3">
      <c r="B107" s="12" t="s">
        <v>69</v>
      </c>
      <c r="C107" s="12"/>
      <c r="D107" s="12" t="s">
        <v>77</v>
      </c>
      <c r="E107" s="13"/>
      <c r="F107" s="13"/>
      <c r="G107" s="13"/>
      <c r="H107" s="13"/>
      <c r="L107" s="12" t="s">
        <v>69</v>
      </c>
      <c r="M107" s="16"/>
      <c r="N107" s="16"/>
      <c r="O107" s="12" t="s">
        <v>78</v>
      </c>
    </row>
    <row r="108" spans="2:18" s="11" customFormat="1" x14ac:dyDescent="0.25">
      <c r="B108" s="13"/>
      <c r="C108" s="13"/>
      <c r="D108" s="13"/>
      <c r="E108" s="13"/>
      <c r="F108" s="13"/>
      <c r="G108" s="13"/>
      <c r="H108" s="13"/>
    </row>
    <row r="109" spans="2:18" s="11" customFormat="1" x14ac:dyDescent="0.25">
      <c r="B109" s="184" t="s">
        <v>66</v>
      </c>
      <c r="C109" s="184"/>
      <c r="D109" s="13"/>
      <c r="E109" s="13"/>
      <c r="F109" s="185">
        <v>400</v>
      </c>
      <c r="G109" s="185"/>
      <c r="H109" s="13"/>
      <c r="L109" s="184" t="s">
        <v>66</v>
      </c>
      <c r="M109" s="184"/>
      <c r="N109" s="13"/>
      <c r="O109" s="13"/>
      <c r="P109" s="185" t="s">
        <v>78</v>
      </c>
      <c r="Q109" s="185"/>
      <c r="R109" s="13"/>
    </row>
    <row r="110" spans="2:18" s="11" customFormat="1" x14ac:dyDescent="0.25">
      <c r="B110" s="13" t="s">
        <v>67</v>
      </c>
      <c r="C110" s="13"/>
      <c r="D110" s="13"/>
      <c r="E110" s="13"/>
      <c r="F110" s="185">
        <v>10</v>
      </c>
      <c r="G110" s="185"/>
      <c r="H110" s="13" t="s">
        <v>154</v>
      </c>
      <c r="L110" s="13" t="s">
        <v>67</v>
      </c>
      <c r="M110" s="13"/>
      <c r="N110" s="13"/>
      <c r="O110" s="13"/>
      <c r="P110" s="185">
        <v>8</v>
      </c>
      <c r="Q110" s="185"/>
      <c r="R110" s="13" t="s">
        <v>154</v>
      </c>
    </row>
    <row r="111" spans="2:18" s="11" customFormat="1" x14ac:dyDescent="0.25">
      <c r="B111" s="13" t="s">
        <v>81</v>
      </c>
      <c r="D111" s="13"/>
      <c r="E111" s="13"/>
      <c r="F111" s="137"/>
      <c r="G111" s="137" t="s">
        <v>82</v>
      </c>
      <c r="L111" s="13" t="s">
        <v>81</v>
      </c>
      <c r="N111" s="13"/>
      <c r="O111" s="13"/>
      <c r="P111" s="137"/>
      <c r="Q111" s="137" t="s">
        <v>83</v>
      </c>
      <c r="R111" s="13"/>
    </row>
    <row r="112" spans="2:18" s="11" customFormat="1" x14ac:dyDescent="0.25">
      <c r="B112" s="184" t="s">
        <v>68</v>
      </c>
      <c r="C112" s="184"/>
      <c r="D112" s="184"/>
      <c r="E112" s="13"/>
      <c r="F112" s="185" t="s">
        <v>87</v>
      </c>
      <c r="G112" s="185"/>
      <c r="H112" s="13"/>
      <c r="L112" s="184" t="s">
        <v>68</v>
      </c>
      <c r="M112" s="184"/>
      <c r="N112" s="184"/>
      <c r="O112" s="13"/>
      <c r="P112" s="185" t="s">
        <v>88</v>
      </c>
      <c r="Q112" s="185"/>
      <c r="R112" s="13"/>
    </row>
    <row r="113" spans="2:21" s="11" customFormat="1" x14ac:dyDescent="0.25">
      <c r="B113" s="184" t="s">
        <v>71</v>
      </c>
      <c r="C113" s="184"/>
      <c r="D113" s="184"/>
      <c r="E113" s="13"/>
      <c r="F113" s="137"/>
      <c r="G113" s="137" t="s">
        <v>89</v>
      </c>
      <c r="H113" s="13"/>
      <c r="L113" s="184" t="s">
        <v>71</v>
      </c>
      <c r="M113" s="184"/>
      <c r="N113" s="184"/>
      <c r="O113" s="13"/>
      <c r="P113" s="137"/>
      <c r="Q113" s="137" t="s">
        <v>90</v>
      </c>
      <c r="R113" s="13"/>
    </row>
    <row r="114" spans="2:21" s="11" customFormat="1" x14ac:dyDescent="0.25">
      <c r="B114" s="184" t="s">
        <v>72</v>
      </c>
      <c r="C114" s="184"/>
      <c r="D114" s="184"/>
      <c r="E114" s="13"/>
      <c r="F114" s="137"/>
      <c r="G114" s="137">
        <v>400</v>
      </c>
      <c r="H114" s="13"/>
      <c r="L114" s="184" t="s">
        <v>72</v>
      </c>
      <c r="M114" s="184"/>
      <c r="N114" s="184"/>
      <c r="O114" s="13"/>
      <c r="P114" s="137"/>
      <c r="Q114" s="137">
        <v>4444</v>
      </c>
      <c r="R114" s="13"/>
    </row>
    <row r="115" spans="2:21" s="11" customFormat="1" x14ac:dyDescent="0.25">
      <c r="B115" s="184" t="s">
        <v>73</v>
      </c>
      <c r="C115" s="184"/>
      <c r="D115" s="136"/>
      <c r="E115" s="13"/>
      <c r="F115" s="137"/>
      <c r="G115" s="137">
        <v>2</v>
      </c>
      <c r="H115" s="13" t="s">
        <v>74</v>
      </c>
      <c r="L115" s="184" t="s">
        <v>73</v>
      </c>
      <c r="M115" s="184"/>
      <c r="N115" s="136"/>
      <c r="O115" s="13"/>
      <c r="P115" s="137"/>
      <c r="Q115" s="137">
        <v>4</v>
      </c>
      <c r="R115" s="13" t="s">
        <v>74</v>
      </c>
    </row>
    <row r="116" spans="2:21" s="11" customFormat="1" x14ac:dyDescent="0.25">
      <c r="B116" s="184" t="s">
        <v>70</v>
      </c>
      <c r="C116" s="184"/>
      <c r="D116" s="184"/>
      <c r="E116" s="13"/>
      <c r="F116" s="185" t="s">
        <v>85</v>
      </c>
      <c r="G116" s="185"/>
      <c r="H116" s="13"/>
      <c r="L116" s="184" t="s">
        <v>70</v>
      </c>
      <c r="M116" s="184"/>
      <c r="N116" s="184"/>
      <c r="O116" s="13"/>
      <c r="P116" s="185" t="s">
        <v>86</v>
      </c>
      <c r="Q116" s="185"/>
      <c r="R116" s="13"/>
    </row>
    <row r="117" spans="2:21" s="11" customFormat="1" x14ac:dyDescent="0.25"/>
    <row r="118" spans="2:21" s="11" customFormat="1" x14ac:dyDescent="0.25"/>
    <row r="119" spans="2:21" s="11" customFormat="1" ht="18.75" x14ac:dyDescent="0.3">
      <c r="Q119" s="12" t="s">
        <v>65</v>
      </c>
      <c r="R119" s="12"/>
      <c r="T119" s="13" t="s">
        <v>130</v>
      </c>
      <c r="U119" s="13"/>
    </row>
    <row r="120" spans="2:21" s="11" customFormat="1" ht="18.75" x14ac:dyDescent="0.3">
      <c r="Q120" s="12" t="s">
        <v>75</v>
      </c>
      <c r="T120" s="13" t="s">
        <v>129</v>
      </c>
      <c r="U120" s="13"/>
    </row>
    <row r="121" spans="2:21" s="11" customFormat="1" ht="18.75" x14ac:dyDescent="0.3">
      <c r="Q121" s="12" t="s">
        <v>77</v>
      </c>
    </row>
    <row r="122" spans="2:21" s="11" customFormat="1" ht="18" customHeight="1" x14ac:dyDescent="0.3">
      <c r="B122" s="186" t="s">
        <v>172</v>
      </c>
      <c r="C122" s="186"/>
      <c r="Q122" s="12" t="s">
        <v>78</v>
      </c>
    </row>
    <row r="123" spans="2:21" ht="0.75" hidden="1" customHeight="1" x14ac:dyDescent="0.25">
      <c r="B123" s="186"/>
      <c r="C123" s="186"/>
    </row>
    <row r="124" spans="2:21" hidden="1" x14ac:dyDescent="0.25">
      <c r="B124" s="186"/>
      <c r="C124" s="186"/>
    </row>
    <row r="125" spans="2:21" x14ac:dyDescent="0.25">
      <c r="B125" s="186"/>
      <c r="C125" s="186"/>
    </row>
    <row r="126" spans="2:21" ht="24.75" x14ac:dyDescent="0.25">
      <c r="B126" s="94" t="s">
        <v>173</v>
      </c>
      <c r="C126" s="9" t="s">
        <v>174</v>
      </c>
      <c r="D126" s="9"/>
      <c r="E126" s="9"/>
      <c r="F126" s="9" t="s">
        <v>175</v>
      </c>
      <c r="G126" s="9"/>
      <c r="H126" s="9"/>
      <c r="I126" s="9" t="s">
        <v>176</v>
      </c>
      <c r="J126" s="9"/>
      <c r="K126" s="9"/>
      <c r="L126" s="9" t="s">
        <v>177</v>
      </c>
      <c r="M126" s="9"/>
      <c r="N126" s="9"/>
    </row>
    <row r="127" spans="2:21" x14ac:dyDescent="0.25">
      <c r="B127" s="5">
        <v>40</v>
      </c>
      <c r="C127" s="2">
        <f>$K$42*(B127*21)</f>
        <v>4049.0369329846144</v>
      </c>
      <c r="F127" s="2">
        <f>(C127+$K$65)*0.05</f>
        <v>1159.2990955593639</v>
      </c>
      <c r="I127" s="2">
        <f>(C127+$K$65+F127)*6%</f>
        <v>1460.7168604047984</v>
      </c>
      <c r="L127" s="31">
        <f>(C127+$K$65+F127+I127)*14.25%</f>
        <v>3677.3546960690801</v>
      </c>
      <c r="M127" s="9"/>
      <c r="N127" s="9"/>
    </row>
    <row r="128" spans="2:21" x14ac:dyDescent="0.25">
      <c r="B128" s="5">
        <v>50</v>
      </c>
      <c r="C128" s="2">
        <f t="shared" ref="C128:C139" si="0">$K$42*(B128*21)</f>
        <v>5061.296166230768</v>
      </c>
      <c r="F128" s="2">
        <f t="shared" ref="F128:F139" si="1">(C128+$K$65)*0.05</f>
        <v>1209.9120572216716</v>
      </c>
      <c r="I128" s="2">
        <f t="shared" ref="I128:I139" si="2">(C128+$K$65+F128)*6%</f>
        <v>1524.4891920993061</v>
      </c>
      <c r="L128" s="31">
        <f t="shared" ref="L128:L139" si="3">(C128+$K$65+F128+I128)*14.25%</f>
        <v>3837.9015411100031</v>
      </c>
      <c r="M128" s="9"/>
      <c r="N128" s="9"/>
    </row>
    <row r="129" spans="2:14" x14ac:dyDescent="0.25">
      <c r="B129" s="5">
        <v>60</v>
      </c>
      <c r="C129" s="2">
        <f t="shared" si="0"/>
        <v>6073.5553994769216</v>
      </c>
      <c r="F129" s="2">
        <f t="shared" si="1"/>
        <v>1260.5250188839793</v>
      </c>
      <c r="I129" s="2">
        <f t="shared" si="2"/>
        <v>1588.2615237938137</v>
      </c>
      <c r="L129" s="31">
        <f t="shared" si="3"/>
        <v>3998.4483861509261</v>
      </c>
      <c r="M129" s="9"/>
      <c r="N129" s="9"/>
    </row>
    <row r="130" spans="2:14" x14ac:dyDescent="0.25">
      <c r="B130" s="5">
        <v>70</v>
      </c>
      <c r="C130" s="2">
        <f t="shared" si="0"/>
        <v>7085.8146327230752</v>
      </c>
      <c r="F130" s="2">
        <f t="shared" si="1"/>
        <v>1311.1379805462871</v>
      </c>
      <c r="I130" s="2">
        <f t="shared" si="2"/>
        <v>1652.0338554883215</v>
      </c>
      <c r="L130" s="31">
        <f t="shared" si="3"/>
        <v>4158.9952311918487</v>
      </c>
      <c r="M130" s="9"/>
      <c r="N130" s="9"/>
    </row>
    <row r="131" spans="2:14" x14ac:dyDescent="0.25">
      <c r="B131" s="5">
        <v>80</v>
      </c>
      <c r="C131" s="2">
        <f t="shared" si="0"/>
        <v>8098.0738659692288</v>
      </c>
      <c r="F131" s="2">
        <f t="shared" si="1"/>
        <v>1361.7509422085948</v>
      </c>
      <c r="I131" s="2">
        <f t="shared" si="2"/>
        <v>1715.806187182829</v>
      </c>
      <c r="L131" s="31">
        <f t="shared" si="3"/>
        <v>4319.5420762327722</v>
      </c>
      <c r="M131" s="9"/>
      <c r="N131" s="9"/>
    </row>
    <row r="132" spans="2:14" x14ac:dyDescent="0.25">
      <c r="B132" s="5">
        <v>90</v>
      </c>
      <c r="C132" s="2">
        <f t="shared" si="0"/>
        <v>9110.3330992153824</v>
      </c>
      <c r="F132" s="2">
        <f t="shared" si="1"/>
        <v>1412.3639038709025</v>
      </c>
      <c r="I132" s="2">
        <f t="shared" si="2"/>
        <v>1779.578518877337</v>
      </c>
      <c r="L132" s="31">
        <f t="shared" si="3"/>
        <v>4480.0889212736956</v>
      </c>
      <c r="M132" s="9"/>
      <c r="N132" s="9"/>
    </row>
    <row r="133" spans="2:14" x14ac:dyDescent="0.25">
      <c r="B133" s="5">
        <v>100</v>
      </c>
      <c r="C133" s="2">
        <f t="shared" si="0"/>
        <v>10122.592332461536</v>
      </c>
      <c r="F133" s="2">
        <f t="shared" si="1"/>
        <v>1462.97686553321</v>
      </c>
      <c r="I133" s="2">
        <f t="shared" si="2"/>
        <v>1843.3508505718444</v>
      </c>
      <c r="L133" s="31">
        <f t="shared" si="3"/>
        <v>4640.6357663146182</v>
      </c>
      <c r="M133" s="9"/>
      <c r="N133" s="9"/>
    </row>
    <row r="134" spans="2:14" x14ac:dyDescent="0.25">
      <c r="B134" s="5">
        <v>110</v>
      </c>
      <c r="C134" s="2">
        <f t="shared" si="0"/>
        <v>11134.85156570769</v>
      </c>
      <c r="F134" s="2">
        <f t="shared" si="1"/>
        <v>1513.5898271955177</v>
      </c>
      <c r="I134" s="2">
        <f t="shared" si="2"/>
        <v>1907.1231822663524</v>
      </c>
      <c r="L134" s="31">
        <f t="shared" si="3"/>
        <v>4801.1826113555417</v>
      </c>
      <c r="M134" s="9"/>
      <c r="N134" s="9"/>
    </row>
    <row r="135" spans="2:14" x14ac:dyDescent="0.25">
      <c r="B135" s="5">
        <v>120</v>
      </c>
      <c r="C135" s="2">
        <f t="shared" si="0"/>
        <v>12147.110798953843</v>
      </c>
      <c r="F135" s="2">
        <f t="shared" si="1"/>
        <v>1564.2027888578255</v>
      </c>
      <c r="I135" s="2">
        <f t="shared" si="2"/>
        <v>1970.8955139608597</v>
      </c>
      <c r="L135" s="31">
        <f t="shared" si="3"/>
        <v>4961.7294563964642</v>
      </c>
      <c r="M135" s="9"/>
      <c r="N135" s="9"/>
    </row>
    <row r="136" spans="2:14" x14ac:dyDescent="0.25">
      <c r="B136" s="5">
        <v>130</v>
      </c>
      <c r="C136" s="2">
        <f t="shared" si="0"/>
        <v>13159.370032199997</v>
      </c>
      <c r="F136" s="2">
        <f t="shared" si="1"/>
        <v>1614.8157505201332</v>
      </c>
      <c r="I136" s="2">
        <f t="shared" si="2"/>
        <v>2034.6678456553677</v>
      </c>
      <c r="L136" s="31">
        <f t="shared" si="3"/>
        <v>5122.2763014373886</v>
      </c>
      <c r="M136" s="9"/>
      <c r="N136" s="9"/>
    </row>
    <row r="137" spans="2:14" x14ac:dyDescent="0.25">
      <c r="B137" s="5">
        <v>140</v>
      </c>
      <c r="C137" s="2">
        <f t="shared" si="0"/>
        <v>14171.62926544615</v>
      </c>
      <c r="F137" s="2">
        <f t="shared" si="1"/>
        <v>1665.4287121824409</v>
      </c>
      <c r="I137" s="2">
        <f t="shared" si="2"/>
        <v>2098.4401773498753</v>
      </c>
      <c r="L137" s="31">
        <f t="shared" si="3"/>
        <v>5282.8231464783103</v>
      </c>
      <c r="M137" s="9"/>
      <c r="N137" s="9"/>
    </row>
    <row r="138" spans="2:14" x14ac:dyDescent="0.25">
      <c r="B138" s="5">
        <v>150</v>
      </c>
      <c r="C138" s="2">
        <f t="shared" si="0"/>
        <v>15183.888498692304</v>
      </c>
      <c r="F138" s="2">
        <f t="shared" si="1"/>
        <v>1716.0416738447486</v>
      </c>
      <c r="I138" s="2">
        <f t="shared" si="2"/>
        <v>2162.2125090443828</v>
      </c>
      <c r="L138" s="31">
        <f t="shared" si="3"/>
        <v>5443.3699915192337</v>
      </c>
      <c r="M138" s="9"/>
      <c r="N138" s="9"/>
    </row>
    <row r="139" spans="2:14" x14ac:dyDescent="0.25">
      <c r="B139" s="5">
        <v>160</v>
      </c>
      <c r="C139" s="2">
        <f t="shared" si="0"/>
        <v>16196.147731938458</v>
      </c>
      <c r="F139" s="2">
        <f t="shared" si="1"/>
        <v>1766.6546355070561</v>
      </c>
      <c r="I139" s="2">
        <f t="shared" si="2"/>
        <v>2225.9848407388904</v>
      </c>
      <c r="L139" s="31">
        <f t="shared" si="3"/>
        <v>5603.9168365601563</v>
      </c>
      <c r="M139" s="9"/>
      <c r="N139" s="9"/>
    </row>
    <row r="140" spans="2:14" x14ac:dyDescent="0.25">
      <c r="B140" s="5"/>
    </row>
    <row r="143" spans="2:14" x14ac:dyDescent="0.25">
      <c r="B143" s="187" t="s">
        <v>178</v>
      </c>
      <c r="C143" s="187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</row>
    <row r="144" spans="2:14" x14ac:dyDescent="0.25">
      <c r="B144" s="187"/>
      <c r="C144" s="187"/>
    </row>
    <row r="145" spans="2:14" x14ac:dyDescent="0.25">
      <c r="B145" s="187"/>
      <c r="C145" s="187"/>
    </row>
    <row r="146" spans="2:14" x14ac:dyDescent="0.25">
      <c r="B146" s="187"/>
      <c r="C146" s="187"/>
    </row>
    <row r="147" spans="2:14" ht="24.75" x14ac:dyDescent="0.25">
      <c r="B147" s="94" t="s">
        <v>173</v>
      </c>
      <c r="C147" s="9" t="s">
        <v>174</v>
      </c>
      <c r="D147" s="9"/>
      <c r="E147" s="9"/>
      <c r="F147" s="9" t="s">
        <v>175</v>
      </c>
      <c r="G147" s="9"/>
      <c r="H147" s="9"/>
      <c r="I147" s="9" t="s">
        <v>176</v>
      </c>
      <c r="J147" s="9"/>
      <c r="K147" s="9"/>
      <c r="L147" s="9" t="s">
        <v>177</v>
      </c>
      <c r="M147" s="9"/>
      <c r="N147" s="9"/>
    </row>
    <row r="148" spans="2:14" x14ac:dyDescent="0.25">
      <c r="B148" s="5">
        <v>40</v>
      </c>
      <c r="C148" s="2">
        <f>($K$42*(B148*21))*1.154</f>
        <v>4672.5886206642444</v>
      </c>
      <c r="F148" s="2">
        <f>(C148+$K$65)*0.05</f>
        <v>1190.4766799433455</v>
      </c>
      <c r="I148" s="2">
        <f>(C148+$K$65+F148)*6%</f>
        <v>1500.0006167286153</v>
      </c>
      <c r="L148" s="31">
        <f>(C148+$K$65+F148+I148)*14.25%</f>
        <v>3776.2515526142888</v>
      </c>
      <c r="M148" s="9"/>
      <c r="N148" s="9"/>
    </row>
    <row r="149" spans="2:14" x14ac:dyDescent="0.25">
      <c r="B149" s="5">
        <v>50</v>
      </c>
      <c r="C149" s="2">
        <f t="shared" ref="C149:C160" si="4">($K$42*(B149*21))*1.154</f>
        <v>5840.735775830306</v>
      </c>
      <c r="F149" s="2">
        <f t="shared" ref="F149:F160" si="5">(C149+$K$65)*0.05</f>
        <v>1248.8840377016486</v>
      </c>
      <c r="I149" s="2">
        <f t="shared" ref="I149:I160" si="6">(C149+$K$65+F149)*6%</f>
        <v>1573.593887504077</v>
      </c>
      <c r="L149" s="31">
        <f t="shared" ref="L149:L160" si="7">(C149+$K$65+F149+I149)*14.25%</f>
        <v>3961.5226117915136</v>
      </c>
      <c r="M149" s="9"/>
      <c r="N149" s="9"/>
    </row>
    <row r="150" spans="2:14" x14ac:dyDescent="0.25">
      <c r="B150" s="5">
        <v>60</v>
      </c>
      <c r="C150" s="2">
        <f t="shared" si="4"/>
        <v>7008.8829309963667</v>
      </c>
      <c r="F150" s="2">
        <f t="shared" si="5"/>
        <v>1307.2913954599517</v>
      </c>
      <c r="I150" s="2">
        <f t="shared" si="6"/>
        <v>1647.1871582795388</v>
      </c>
      <c r="L150" s="31">
        <f t="shared" si="7"/>
        <v>4146.7936709687392</v>
      </c>
      <c r="M150" s="9"/>
      <c r="N150" s="9"/>
    </row>
    <row r="151" spans="2:14" x14ac:dyDescent="0.25">
      <c r="B151" s="5">
        <v>70</v>
      </c>
      <c r="C151" s="2">
        <f t="shared" si="4"/>
        <v>8177.0300861624282</v>
      </c>
      <c r="F151" s="2">
        <f t="shared" si="5"/>
        <v>1365.6987532182548</v>
      </c>
      <c r="I151" s="2">
        <f t="shared" si="6"/>
        <v>1720.7804290550007</v>
      </c>
      <c r="L151" s="31">
        <f t="shared" si="7"/>
        <v>4332.0647301459639</v>
      </c>
      <c r="M151" s="9"/>
      <c r="N151" s="9"/>
    </row>
    <row r="152" spans="2:14" x14ac:dyDescent="0.25">
      <c r="B152" s="5">
        <v>80</v>
      </c>
      <c r="C152" s="2">
        <f t="shared" si="4"/>
        <v>9345.1772413284889</v>
      </c>
      <c r="F152" s="2">
        <f t="shared" si="5"/>
        <v>1424.1061109765578</v>
      </c>
      <c r="I152" s="2">
        <f t="shared" si="6"/>
        <v>1794.3736998304626</v>
      </c>
      <c r="L152" s="31">
        <f t="shared" si="7"/>
        <v>4517.3357893231896</v>
      </c>
      <c r="M152" s="9"/>
      <c r="N152" s="9"/>
    </row>
    <row r="153" spans="2:14" x14ac:dyDescent="0.25">
      <c r="B153" s="5">
        <v>90</v>
      </c>
      <c r="C153" s="2">
        <f t="shared" si="4"/>
        <v>10513.32439649455</v>
      </c>
      <c r="F153" s="2">
        <f t="shared" si="5"/>
        <v>1482.5134687348609</v>
      </c>
      <c r="I153" s="2">
        <f t="shared" si="6"/>
        <v>1867.9669706059244</v>
      </c>
      <c r="L153" s="31">
        <f t="shared" si="7"/>
        <v>4702.6068485004143</v>
      </c>
      <c r="M153" s="9"/>
      <c r="N153" s="9"/>
    </row>
    <row r="154" spans="2:14" x14ac:dyDescent="0.25">
      <c r="B154" s="5">
        <v>100</v>
      </c>
      <c r="C154" s="2">
        <f t="shared" si="4"/>
        <v>11681.471551660612</v>
      </c>
      <c r="F154" s="2">
        <f t="shared" si="5"/>
        <v>1540.920826493164</v>
      </c>
      <c r="I154" s="2">
        <f t="shared" si="6"/>
        <v>1941.5602413813863</v>
      </c>
      <c r="L154" s="31">
        <f t="shared" si="7"/>
        <v>4887.8779076776391</v>
      </c>
      <c r="M154" s="9"/>
      <c r="N154" s="9"/>
    </row>
    <row r="155" spans="2:14" x14ac:dyDescent="0.25">
      <c r="B155" s="5">
        <v>110</v>
      </c>
      <c r="C155" s="2">
        <f t="shared" si="4"/>
        <v>12849.618706826674</v>
      </c>
      <c r="F155" s="2">
        <f t="shared" si="5"/>
        <v>1599.3281842514671</v>
      </c>
      <c r="I155" s="2">
        <f t="shared" si="6"/>
        <v>2015.1535121568484</v>
      </c>
      <c r="L155" s="31">
        <f t="shared" si="7"/>
        <v>5073.1489668548647</v>
      </c>
      <c r="M155" s="9"/>
      <c r="N155" s="9"/>
    </row>
    <row r="156" spans="2:14" x14ac:dyDescent="0.25">
      <c r="B156" s="5">
        <v>120</v>
      </c>
      <c r="C156" s="2">
        <f t="shared" si="4"/>
        <v>14017.765861992733</v>
      </c>
      <c r="F156" s="2">
        <f t="shared" si="5"/>
        <v>1657.7355420097699</v>
      </c>
      <c r="I156" s="2">
        <f t="shared" si="6"/>
        <v>2088.7467829323095</v>
      </c>
      <c r="L156" s="31">
        <f t="shared" si="7"/>
        <v>5258.4200260320886</v>
      </c>
      <c r="M156" s="9"/>
      <c r="N156" s="9"/>
    </row>
    <row r="157" spans="2:14" x14ac:dyDescent="0.25">
      <c r="B157" s="5">
        <v>130</v>
      </c>
      <c r="C157" s="2">
        <f t="shared" si="4"/>
        <v>15185.913017158795</v>
      </c>
      <c r="F157" s="2">
        <f t="shared" si="5"/>
        <v>1716.1428997680732</v>
      </c>
      <c r="I157" s="2">
        <f t="shared" si="6"/>
        <v>2162.3400537077719</v>
      </c>
      <c r="L157" s="31">
        <f t="shared" si="7"/>
        <v>5443.6910852093151</v>
      </c>
      <c r="M157" s="9"/>
      <c r="N157" s="9"/>
    </row>
    <row r="158" spans="2:14" x14ac:dyDescent="0.25">
      <c r="B158" s="5">
        <v>140</v>
      </c>
      <c r="C158" s="2">
        <f t="shared" si="4"/>
        <v>16354.060172324856</v>
      </c>
      <c r="F158" s="2">
        <f t="shared" si="5"/>
        <v>1774.5502575263761</v>
      </c>
      <c r="I158" s="2">
        <f t="shared" si="6"/>
        <v>2235.9333244832337</v>
      </c>
      <c r="L158" s="31">
        <f t="shared" si="7"/>
        <v>5628.9621443865399</v>
      </c>
      <c r="M158" s="9"/>
      <c r="N158" s="9"/>
    </row>
    <row r="159" spans="2:14" x14ac:dyDescent="0.25">
      <c r="B159" s="5">
        <v>150</v>
      </c>
      <c r="C159" s="2">
        <f t="shared" si="4"/>
        <v>17522.207327490916</v>
      </c>
      <c r="F159" s="2">
        <f t="shared" si="5"/>
        <v>1832.9576152846794</v>
      </c>
      <c r="I159" s="2">
        <f t="shared" si="6"/>
        <v>2309.5265952586956</v>
      </c>
      <c r="L159" s="31">
        <f t="shared" si="7"/>
        <v>5814.2332035637655</v>
      </c>
      <c r="M159" s="9"/>
      <c r="N159" s="9"/>
    </row>
    <row r="160" spans="2:14" x14ac:dyDescent="0.25">
      <c r="B160" s="5">
        <v>160</v>
      </c>
      <c r="C160" s="2">
        <f t="shared" si="4"/>
        <v>18690.354482656978</v>
      </c>
      <c r="F160" s="2">
        <f t="shared" si="5"/>
        <v>1891.3649730429822</v>
      </c>
      <c r="I160" s="2">
        <f t="shared" si="6"/>
        <v>2383.1198660341574</v>
      </c>
      <c r="L160" s="31">
        <f t="shared" si="7"/>
        <v>5999.5042627409903</v>
      </c>
      <c r="M160" s="9"/>
      <c r="N160" s="9"/>
    </row>
  </sheetData>
  <mergeCells count="121">
    <mergeCell ref="A11:F11"/>
    <mergeCell ref="K11:N11"/>
    <mergeCell ref="A12:C12"/>
    <mergeCell ref="E12:F12"/>
    <mergeCell ref="K12:N12"/>
    <mergeCell ref="A13:D13"/>
    <mergeCell ref="E13:F13"/>
    <mergeCell ref="K13:N13"/>
    <mergeCell ref="C2:F6"/>
    <mergeCell ref="H3:P5"/>
    <mergeCell ref="F7:H7"/>
    <mergeCell ref="K7:N7"/>
    <mergeCell ref="B8:C8"/>
    <mergeCell ref="I9:P9"/>
    <mergeCell ref="A9:F9"/>
    <mergeCell ref="O16:O17"/>
    <mergeCell ref="P16:P17"/>
    <mergeCell ref="T17:V17"/>
    <mergeCell ref="A14:D14"/>
    <mergeCell ref="E14:F14"/>
    <mergeCell ref="K14:N15"/>
    <mergeCell ref="O14:O15"/>
    <mergeCell ref="P14:P15"/>
    <mergeCell ref="E15:F15"/>
    <mergeCell ref="K18:N18"/>
    <mergeCell ref="A19:F19"/>
    <mergeCell ref="A20:F20"/>
    <mergeCell ref="H21:N22"/>
    <mergeCell ref="A23:F23"/>
    <mergeCell ref="A24:D24"/>
    <mergeCell ref="E24:F24"/>
    <mergeCell ref="A16:D16"/>
    <mergeCell ref="E16:F16"/>
    <mergeCell ref="K16:N17"/>
    <mergeCell ref="A28:D28"/>
    <mergeCell ref="E28:F28"/>
    <mergeCell ref="A31:F31"/>
    <mergeCell ref="A32:D32"/>
    <mergeCell ref="E32:F32"/>
    <mergeCell ref="A33:D33"/>
    <mergeCell ref="A25:D25"/>
    <mergeCell ref="E25:F25"/>
    <mergeCell ref="A26:D26"/>
    <mergeCell ref="E26:F26"/>
    <mergeCell ref="A27:D27"/>
    <mergeCell ref="E27:F27"/>
    <mergeCell ref="B41:D41"/>
    <mergeCell ref="F41:H41"/>
    <mergeCell ref="A42:E42"/>
    <mergeCell ref="A43:J43"/>
    <mergeCell ref="A45:J45"/>
    <mergeCell ref="A47:J47"/>
    <mergeCell ref="A36:E36"/>
    <mergeCell ref="B37:D37"/>
    <mergeCell ref="E37:F37"/>
    <mergeCell ref="B38:D38"/>
    <mergeCell ref="B39:D39"/>
    <mergeCell ref="B40:D40"/>
    <mergeCell ref="C54:F54"/>
    <mergeCell ref="C55:F55"/>
    <mergeCell ref="C58:F58"/>
    <mergeCell ref="C60:G60"/>
    <mergeCell ref="C62:E62"/>
    <mergeCell ref="C63:F63"/>
    <mergeCell ref="A49:E49"/>
    <mergeCell ref="H50:I50"/>
    <mergeCell ref="C51:F51"/>
    <mergeCell ref="H51:I51"/>
    <mergeCell ref="C52:F52"/>
    <mergeCell ref="C53:F53"/>
    <mergeCell ref="A74:E74"/>
    <mergeCell ref="A75:F75"/>
    <mergeCell ref="I75:J75"/>
    <mergeCell ref="I76:J76"/>
    <mergeCell ref="I77:J77"/>
    <mergeCell ref="I78:J78"/>
    <mergeCell ref="A65:J65"/>
    <mergeCell ref="A67:I67"/>
    <mergeCell ref="A69:E69"/>
    <mergeCell ref="I69:J69"/>
    <mergeCell ref="C70:F70"/>
    <mergeCell ref="C71:F71"/>
    <mergeCell ref="D95:E95"/>
    <mergeCell ref="B97:C97"/>
    <mergeCell ref="F97:G97"/>
    <mergeCell ref="F98:G98"/>
    <mergeCell ref="B100:D100"/>
    <mergeCell ref="F100:G100"/>
    <mergeCell ref="A79:J79"/>
    <mergeCell ref="A82:I82"/>
    <mergeCell ref="A84:H84"/>
    <mergeCell ref="A85:J85"/>
    <mergeCell ref="A89:J89"/>
    <mergeCell ref="A90:J90"/>
    <mergeCell ref="L109:M109"/>
    <mergeCell ref="P109:Q109"/>
    <mergeCell ref="F110:G110"/>
    <mergeCell ref="P110:Q110"/>
    <mergeCell ref="B112:D112"/>
    <mergeCell ref="F112:G112"/>
    <mergeCell ref="L112:N112"/>
    <mergeCell ref="P112:Q112"/>
    <mergeCell ref="B101:D101"/>
    <mergeCell ref="B102:D102"/>
    <mergeCell ref="B103:C103"/>
    <mergeCell ref="B104:D104"/>
    <mergeCell ref="F104:G104"/>
    <mergeCell ref="B109:C109"/>
    <mergeCell ref="F109:G109"/>
    <mergeCell ref="B116:D116"/>
    <mergeCell ref="F116:G116"/>
    <mergeCell ref="L116:N116"/>
    <mergeCell ref="P116:Q116"/>
    <mergeCell ref="B122:C125"/>
    <mergeCell ref="B143:C146"/>
    <mergeCell ref="B113:D113"/>
    <mergeCell ref="L113:N113"/>
    <mergeCell ref="B114:D114"/>
    <mergeCell ref="L114:N114"/>
    <mergeCell ref="B115:C115"/>
    <mergeCell ref="L115:M115"/>
  </mergeCells>
  <conditionalFormatting sqref="P19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{DD678AE6-9CAC-479A-B772-0227751CEE37}</x14:id>
        </ext>
      </extLst>
    </cfRule>
  </conditionalFormatting>
  <dataValidations disablePrompts="1" count="3">
    <dataValidation type="list" allowBlank="1" showInputMessage="1" showErrorMessage="1" sqref="E15:F15">
      <formula1>"0,1,2,3,4,5,6,7,8,9,10,11,12,13,14,15"</formula1>
    </dataValidation>
    <dataValidation type="list" allowBlank="1" showInputMessage="1" showErrorMessage="1" sqref="L51">
      <formula1>"LINEAR, MÉTODO COLE"</formula1>
    </dataValidation>
    <dataValidation type="list" allowBlank="1" showInputMessage="1" showErrorMessage="1" sqref="F7:H7 T17:V17">
      <formula1>$Q$119:$Q$122</formula1>
    </dataValidation>
  </dataValidations>
  <pageMargins left="0.51181102362204722" right="0.51181102362204722" top="0.78740157480314965" bottom="0.78740157480314965" header="0.31496062992125984" footer="0.31496062992125984"/>
  <pageSetup paperSize="9" scale="50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D678AE6-9CAC-479A-B772-0227751CEE3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P19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2">
    <tabColor rgb="FF0070C0"/>
  </sheetPr>
  <dimension ref="A2:V160"/>
  <sheetViews>
    <sheetView tabSelected="1" view="pageBreakPreview" topLeftCell="A41" zoomScale="85" zoomScaleNormal="100" zoomScaleSheetLayoutView="85" workbookViewId="0">
      <selection activeCell="A57" sqref="A57"/>
    </sheetView>
  </sheetViews>
  <sheetFormatPr defaultColWidth="8.85546875" defaultRowHeight="15" x14ac:dyDescent="0.25"/>
  <cols>
    <col min="2" max="2" width="14.140625" customWidth="1"/>
    <col min="3" max="3" width="15.28515625" customWidth="1"/>
    <col min="5" max="5" width="12.42578125" customWidth="1"/>
    <col min="6" max="6" width="13.5703125" customWidth="1"/>
    <col min="7" max="7" width="12.140625" customWidth="1"/>
    <col min="9" max="9" width="10.7109375" customWidth="1"/>
    <col min="10" max="10" width="12.140625" bestFit="1" customWidth="1"/>
    <col min="11" max="11" width="16.42578125" bestFit="1" customWidth="1"/>
    <col min="12" max="12" width="14.42578125" customWidth="1"/>
    <col min="14" max="14" width="6.42578125" customWidth="1"/>
    <col min="15" max="15" width="9" customWidth="1"/>
    <col min="16" max="16" width="10.42578125" customWidth="1"/>
    <col min="17" max="17" width="15.140625" customWidth="1"/>
    <col min="18" max="18" width="14.7109375" bestFit="1" customWidth="1"/>
    <col min="19" max="19" width="19.42578125" bestFit="1" customWidth="1"/>
  </cols>
  <sheetData>
    <row r="2" spans="1:19" x14ac:dyDescent="0.25">
      <c r="C2" s="239" t="s">
        <v>151</v>
      </c>
      <c r="D2" s="240"/>
      <c r="E2" s="240"/>
      <c r="F2" s="240"/>
    </row>
    <row r="3" spans="1:19" x14ac:dyDescent="0.25">
      <c r="C3" s="240"/>
      <c r="D3" s="240"/>
      <c r="E3" s="240"/>
      <c r="F3" s="240"/>
      <c r="H3" s="241" t="s">
        <v>64</v>
      </c>
      <c r="I3" s="239"/>
      <c r="J3" s="239"/>
      <c r="K3" s="239"/>
      <c r="L3" s="239"/>
      <c r="M3" s="239"/>
      <c r="N3" s="239"/>
      <c r="O3" s="239"/>
      <c r="P3" s="239"/>
    </row>
    <row r="4" spans="1:19" x14ac:dyDescent="0.25">
      <c r="C4" s="240"/>
      <c r="D4" s="240"/>
      <c r="E4" s="240"/>
      <c r="F4" s="240"/>
      <c r="H4" s="239"/>
      <c r="I4" s="239"/>
      <c r="J4" s="239"/>
      <c r="K4" s="239"/>
      <c r="L4" s="239"/>
      <c r="M4" s="239"/>
      <c r="N4" s="239"/>
      <c r="O4" s="239"/>
      <c r="P4" s="239"/>
    </row>
    <row r="5" spans="1:19" x14ac:dyDescent="0.25">
      <c r="C5" s="240"/>
      <c r="D5" s="240"/>
      <c r="E5" s="240"/>
      <c r="F5" s="240"/>
      <c r="H5" s="239"/>
      <c r="I5" s="239"/>
      <c r="J5" s="239"/>
      <c r="K5" s="239"/>
      <c r="L5" s="239"/>
      <c r="M5" s="239"/>
      <c r="N5" s="239"/>
      <c r="O5" s="239"/>
      <c r="P5" s="239"/>
    </row>
    <row r="6" spans="1:19" x14ac:dyDescent="0.25">
      <c r="C6" s="240"/>
      <c r="D6" s="240"/>
      <c r="E6" s="240"/>
      <c r="F6" s="240"/>
    </row>
    <row r="7" spans="1:19" ht="21" x14ac:dyDescent="0.35">
      <c r="E7" s="18" t="s">
        <v>80</v>
      </c>
      <c r="F7" s="235" t="s">
        <v>65</v>
      </c>
      <c r="G7" s="235"/>
      <c r="H7" s="235"/>
      <c r="K7" s="242" t="s">
        <v>286</v>
      </c>
      <c r="L7" s="243"/>
      <c r="M7" s="243"/>
      <c r="N7" s="243"/>
    </row>
    <row r="8" spans="1:19" ht="15.75" x14ac:dyDescent="0.25">
      <c r="B8" s="194"/>
      <c r="C8" s="194"/>
      <c r="D8" s="8"/>
      <c r="E8" s="8"/>
      <c r="F8" s="8"/>
      <c r="J8" s="9"/>
    </row>
    <row r="9" spans="1:19" ht="21" x14ac:dyDescent="0.35">
      <c r="A9" s="235" t="s">
        <v>352</v>
      </c>
      <c r="B9" s="235"/>
      <c r="C9" s="235"/>
      <c r="D9" s="235"/>
      <c r="E9" s="235"/>
      <c r="F9" s="235"/>
      <c r="I9" s="244" t="s">
        <v>157</v>
      </c>
      <c r="J9" s="244"/>
      <c r="K9" s="244"/>
      <c r="L9" s="244"/>
      <c r="M9" s="244"/>
      <c r="N9" s="244"/>
      <c r="O9" s="244"/>
      <c r="P9" s="244"/>
      <c r="R9" s="9" t="s">
        <v>155</v>
      </c>
      <c r="S9" s="9" t="s">
        <v>156</v>
      </c>
    </row>
    <row r="10" spans="1:19" x14ac:dyDescent="0.25">
      <c r="R10" s="2">
        <f>K43</f>
        <v>4543.0194388087375</v>
      </c>
      <c r="S10" s="43">
        <f>K45</f>
        <v>6993.0916869577277</v>
      </c>
    </row>
    <row r="11" spans="1:19" ht="17.25" x14ac:dyDescent="0.3">
      <c r="A11" s="236" t="s">
        <v>150</v>
      </c>
      <c r="B11" s="237"/>
      <c r="C11" s="237"/>
      <c r="D11" s="237"/>
      <c r="E11" s="237"/>
      <c r="F11" s="238"/>
      <c r="G11" s="40" t="s">
        <v>0</v>
      </c>
      <c r="K11" s="206" t="s">
        <v>15</v>
      </c>
      <c r="L11" s="206"/>
      <c r="M11" s="206"/>
      <c r="N11" s="206"/>
      <c r="O11" s="161">
        <f>O12+O13</f>
        <v>104.88</v>
      </c>
      <c r="P11" s="47" t="s">
        <v>14</v>
      </c>
      <c r="R11" s="130">
        <f>K65/O18*O14</f>
        <v>8189.0359517709348</v>
      </c>
      <c r="S11" s="130">
        <f>K65/O18*O16</f>
        <v>10947.909026431731</v>
      </c>
    </row>
    <row r="12" spans="1:19" ht="15.75" x14ac:dyDescent="0.25">
      <c r="A12" s="214" t="s">
        <v>107</v>
      </c>
      <c r="B12" s="215"/>
      <c r="C12" s="215"/>
      <c r="D12" s="48"/>
      <c r="E12" s="218">
        <f>Insumos!$B$4</f>
        <v>531068.38</v>
      </c>
      <c r="F12" s="218"/>
      <c r="G12" s="1"/>
      <c r="K12" s="206" t="s">
        <v>136</v>
      </c>
      <c r="L12" s="206"/>
      <c r="M12" s="206"/>
      <c r="N12" s="206"/>
      <c r="O12" s="150">
        <v>44.88</v>
      </c>
      <c r="P12" s="47" t="s">
        <v>14</v>
      </c>
      <c r="R12" s="2">
        <f>K72/O18*O14</f>
        <v>888.12661775045046</v>
      </c>
      <c r="S12" s="2">
        <f>K72/O18*O16</f>
        <v>1187.3350504685168</v>
      </c>
    </row>
    <row r="13" spans="1:19" ht="15.75" x14ac:dyDescent="0.25">
      <c r="A13" s="214" t="s">
        <v>285</v>
      </c>
      <c r="B13" s="215"/>
      <c r="C13" s="215"/>
      <c r="D13" s="216"/>
      <c r="E13" s="198">
        <f>'DEPRECIAÇÃO LINEAR'!D15</f>
        <v>10</v>
      </c>
      <c r="F13" s="198"/>
      <c r="K13" s="206" t="s">
        <v>137</v>
      </c>
      <c r="L13" s="206"/>
      <c r="M13" s="206"/>
      <c r="N13" s="206"/>
      <c r="O13" s="150">
        <v>60</v>
      </c>
      <c r="P13" s="47" t="s">
        <v>14</v>
      </c>
      <c r="R13" s="2">
        <f>K79/O18*O14</f>
        <v>1326.9647111883373</v>
      </c>
      <c r="S13" s="2">
        <f>K79/O18*O16</f>
        <v>1774.0169935672957</v>
      </c>
    </row>
    <row r="14" spans="1:19" ht="15" customHeight="1" x14ac:dyDescent="0.25">
      <c r="A14" s="214" t="s">
        <v>23</v>
      </c>
      <c r="B14" s="215"/>
      <c r="C14" s="215"/>
      <c r="D14" s="216"/>
      <c r="E14" s="219">
        <v>2026</v>
      </c>
      <c r="F14" s="220"/>
      <c r="K14" s="223" t="s">
        <v>138</v>
      </c>
      <c r="L14" s="223"/>
      <c r="M14" s="223"/>
      <c r="N14" s="223"/>
      <c r="O14" s="232">
        <f>O12*21</f>
        <v>942.48</v>
      </c>
      <c r="P14" s="234" t="s">
        <v>14</v>
      </c>
      <c r="R14" s="2">
        <f>SUM(R10:R13)</f>
        <v>14947.146719518461</v>
      </c>
      <c r="S14" s="2">
        <f>SUM(S10:S13)</f>
        <v>20902.352757425273</v>
      </c>
    </row>
    <row r="15" spans="1:19" ht="15.75" customHeight="1" x14ac:dyDescent="0.25">
      <c r="A15" s="49" t="s">
        <v>79</v>
      </c>
      <c r="B15" s="48"/>
      <c r="C15" s="48"/>
      <c r="D15" s="48"/>
      <c r="E15" s="198">
        <v>0</v>
      </c>
      <c r="F15" s="198"/>
      <c r="G15" s="41" t="s">
        <v>128</v>
      </c>
      <c r="I15" s="28"/>
      <c r="J15" s="28"/>
      <c r="K15" s="223"/>
      <c r="L15" s="223"/>
      <c r="M15" s="223"/>
      <c r="N15" s="223"/>
      <c r="O15" s="233"/>
      <c r="P15" s="234"/>
      <c r="R15" s="31">
        <f>IFERROR(R14/O14,0)</f>
        <v>15.859378150749576</v>
      </c>
      <c r="S15" s="31">
        <f>IFERROR(S14/O16,0)</f>
        <v>16.589168855099423</v>
      </c>
    </row>
    <row r="16" spans="1:19" ht="15" customHeight="1" x14ac:dyDescent="0.25">
      <c r="A16" s="214" t="s">
        <v>84</v>
      </c>
      <c r="B16" s="215"/>
      <c r="C16" s="215"/>
      <c r="D16" s="215"/>
      <c r="E16" s="198" t="str">
        <f>IF($F$7=$D$95,F104,IF($F$7=$D$107,F116,IF($F$7=$N$95,Q104,IF($F$7=$O$107,P116,""))))</f>
        <v>ATÉ 59 ALUNOS</v>
      </c>
      <c r="F16" s="198"/>
      <c r="I16" s="28"/>
      <c r="J16" s="28"/>
      <c r="K16" s="223" t="s">
        <v>139</v>
      </c>
      <c r="L16" s="223"/>
      <c r="M16" s="223"/>
      <c r="N16" s="223"/>
      <c r="O16" s="232">
        <f>O13*21</f>
        <v>1260</v>
      </c>
      <c r="P16" s="234" t="s">
        <v>14</v>
      </c>
    </row>
    <row r="17" spans="1:22" ht="15" customHeight="1" x14ac:dyDescent="0.35">
      <c r="I17" s="28"/>
      <c r="J17" s="28"/>
      <c r="K17" s="223"/>
      <c r="L17" s="223"/>
      <c r="M17" s="223"/>
      <c r="N17" s="223"/>
      <c r="O17" s="233"/>
      <c r="P17" s="234"/>
      <c r="R17" s="2">
        <f>R14+S14</f>
        <v>35849.499476943733</v>
      </c>
      <c r="T17" s="235"/>
      <c r="U17" s="235"/>
      <c r="V17" s="235"/>
    </row>
    <row r="18" spans="1:22" ht="15" customHeight="1" x14ac:dyDescent="0.25">
      <c r="I18" s="28"/>
      <c r="J18" s="28"/>
      <c r="K18" s="223" t="s">
        <v>140</v>
      </c>
      <c r="L18" s="223"/>
      <c r="M18" s="223"/>
      <c r="N18" s="223"/>
      <c r="O18" s="46">
        <f>O16+O14</f>
        <v>2202.48</v>
      </c>
      <c r="P18" s="47" t="s">
        <v>14</v>
      </c>
      <c r="R18" s="2">
        <f>R17/O18</f>
        <v>16.276878553695713</v>
      </c>
    </row>
    <row r="19" spans="1:22" ht="15.75" customHeight="1" thickBot="1" x14ac:dyDescent="0.35">
      <c r="A19" s="224" t="s">
        <v>1</v>
      </c>
      <c r="B19" s="225"/>
      <c r="C19" s="225"/>
      <c r="D19" s="225"/>
      <c r="E19" s="225"/>
      <c r="F19" s="225"/>
      <c r="I19" s="29"/>
      <c r="J19" s="29"/>
      <c r="K19" s="29"/>
      <c r="L19" s="29"/>
      <c r="M19" s="29"/>
    </row>
    <row r="20" spans="1:22" ht="15" customHeight="1" x14ac:dyDescent="0.25">
      <c r="A20" s="206" t="s">
        <v>106</v>
      </c>
      <c r="B20" s="206"/>
      <c r="C20" s="206"/>
      <c r="D20" s="206"/>
      <c r="E20" s="206"/>
      <c r="F20" s="206"/>
      <c r="H20" s="245" t="s">
        <v>296</v>
      </c>
      <c r="I20" s="246"/>
      <c r="J20" s="246"/>
      <c r="K20" s="246"/>
      <c r="L20" s="246"/>
      <c r="M20" s="246"/>
      <c r="N20" s="247"/>
      <c r="O20" s="93">
        <f>K90</f>
        <v>16.276878553695713</v>
      </c>
      <c r="R20" s="93">
        <f>K90</f>
        <v>16.276878553695713</v>
      </c>
    </row>
    <row r="21" spans="1:22" ht="15.75" thickBot="1" x14ac:dyDescent="0.3">
      <c r="H21" s="248"/>
      <c r="I21" s="249"/>
      <c r="J21" s="249"/>
      <c r="K21" s="249"/>
      <c r="L21" s="249"/>
      <c r="M21" s="249"/>
      <c r="N21" s="250"/>
      <c r="O21" s="2"/>
    </row>
    <row r="23" spans="1:22" ht="17.25" x14ac:dyDescent="0.3">
      <c r="A23" s="224" t="s">
        <v>2</v>
      </c>
      <c r="B23" s="225"/>
      <c r="C23" s="225"/>
      <c r="D23" s="225"/>
      <c r="E23" s="225"/>
      <c r="F23" s="225"/>
      <c r="L23" s="2"/>
    </row>
    <row r="24" spans="1:22" ht="15.75" x14ac:dyDescent="0.25">
      <c r="A24" s="214" t="s">
        <v>11</v>
      </c>
      <c r="B24" s="215"/>
      <c r="C24" s="215"/>
      <c r="D24" s="215"/>
      <c r="E24" s="198">
        <f>IF($F$7=$D$95,F100,IF($F$7=$D$107,F112,IF($F$7=$N$95,Q100,IF($F$7=$O$107,P112,""))))</f>
        <v>6</v>
      </c>
      <c r="F24" s="198"/>
    </row>
    <row r="25" spans="1:22" ht="15.75" x14ac:dyDescent="0.25">
      <c r="A25" s="214" t="s">
        <v>9</v>
      </c>
      <c r="B25" s="215"/>
      <c r="C25" s="215"/>
      <c r="D25" s="216"/>
      <c r="E25" s="218">
        <f>Insumos!$B$5</f>
        <v>2453.2399999999998</v>
      </c>
      <c r="F25" s="218"/>
    </row>
    <row r="26" spans="1:22" ht="15.75" x14ac:dyDescent="0.25">
      <c r="A26" s="214" t="s">
        <v>147</v>
      </c>
      <c r="B26" s="215"/>
      <c r="C26" s="215"/>
      <c r="D26" s="216"/>
      <c r="E26" s="219">
        <v>2</v>
      </c>
      <c r="F26" s="220"/>
    </row>
    <row r="27" spans="1:22" ht="15.75" x14ac:dyDescent="0.25">
      <c r="A27" s="214" t="s">
        <v>148</v>
      </c>
      <c r="B27" s="215"/>
      <c r="C27" s="215"/>
      <c r="D27" s="216"/>
      <c r="E27" s="221">
        <f>Insumos!$B$6</f>
        <v>975.83</v>
      </c>
      <c r="F27" s="222"/>
    </row>
    <row r="28" spans="1:22" ht="15.75" x14ac:dyDescent="0.25">
      <c r="A28" s="214" t="s">
        <v>149</v>
      </c>
      <c r="B28" s="215"/>
      <c r="C28" s="215"/>
      <c r="D28" s="216"/>
      <c r="E28" s="217">
        <v>100000</v>
      </c>
      <c r="F28" s="217"/>
    </row>
    <row r="31" spans="1:22" ht="15.75" x14ac:dyDescent="0.25">
      <c r="A31" s="191" t="s">
        <v>3</v>
      </c>
      <c r="B31" s="192"/>
      <c r="C31" s="192"/>
      <c r="D31" s="192"/>
      <c r="E31" s="192"/>
      <c r="F31" s="192"/>
    </row>
    <row r="32" spans="1:22" ht="15.75" x14ac:dyDescent="0.25">
      <c r="A32" s="214" t="s">
        <v>19</v>
      </c>
      <c r="B32" s="215"/>
      <c r="C32" s="215"/>
      <c r="D32" s="216"/>
      <c r="E32" s="218">
        <f>Insumos!$B$7</f>
        <v>7.6</v>
      </c>
      <c r="F32" s="218"/>
    </row>
    <row r="33" spans="1:14" ht="15.75" x14ac:dyDescent="0.25">
      <c r="A33" s="214" t="s">
        <v>17</v>
      </c>
      <c r="B33" s="215"/>
      <c r="C33" s="215"/>
      <c r="D33" s="216"/>
      <c r="E33" s="46">
        <f>IF($F$7=$D$95,G103,IF($F$7=$D$107,G115,IF($F$7=$N$95,Q103,IF($F$7=$O$107,Q115,""))))</f>
        <v>2.6</v>
      </c>
      <c r="F33" s="50" t="s">
        <v>18</v>
      </c>
    </row>
    <row r="36" spans="1:14" ht="17.25" x14ac:dyDescent="0.3">
      <c r="A36" s="208" t="s">
        <v>20</v>
      </c>
      <c r="B36" s="209"/>
      <c r="C36" s="209"/>
      <c r="D36" s="209"/>
      <c r="E36" s="209"/>
    </row>
    <row r="37" spans="1:14" x14ac:dyDescent="0.25">
      <c r="B37" s="210"/>
      <c r="C37" s="210"/>
      <c r="D37" s="211"/>
      <c r="E37" s="212" t="s">
        <v>4</v>
      </c>
      <c r="F37" s="213"/>
    </row>
    <row r="38" spans="1:14" ht="15.75" x14ac:dyDescent="0.25">
      <c r="A38" s="46" t="s">
        <v>346</v>
      </c>
      <c r="B38" s="214" t="s">
        <v>52</v>
      </c>
      <c r="C38" s="215"/>
      <c r="D38" s="216"/>
      <c r="E38" s="46">
        <f>1/E33</f>
        <v>0.38461538461538458</v>
      </c>
      <c r="F38" s="7" t="s">
        <v>5</v>
      </c>
      <c r="G38" s="7"/>
      <c r="H38" s="7"/>
      <c r="I38" s="7"/>
      <c r="J38" s="7"/>
      <c r="K38" s="58">
        <f>E32*E38</f>
        <v>2.9230769230769225</v>
      </c>
      <c r="L38" s="51" t="s">
        <v>13</v>
      </c>
      <c r="N38" s="2"/>
    </row>
    <row r="39" spans="1:14" ht="15.75" x14ac:dyDescent="0.25">
      <c r="A39" s="46" t="s">
        <v>6</v>
      </c>
      <c r="B39" s="206" t="s">
        <v>152</v>
      </c>
      <c r="C39" s="206"/>
      <c r="D39" s="206"/>
      <c r="E39" s="46">
        <v>0.04</v>
      </c>
      <c r="F39" s="7" t="s">
        <v>5</v>
      </c>
      <c r="G39" s="7"/>
      <c r="H39" s="7"/>
      <c r="I39" s="7"/>
      <c r="J39" s="7"/>
      <c r="K39" s="58">
        <f>E39*E32</f>
        <v>0.30399999999999999</v>
      </c>
      <c r="L39" s="51" t="s">
        <v>13</v>
      </c>
    </row>
    <row r="40" spans="1:14" ht="15.75" x14ac:dyDescent="0.25">
      <c r="A40" s="46" t="s">
        <v>7</v>
      </c>
      <c r="B40" s="206" t="s">
        <v>8</v>
      </c>
      <c r="C40" s="206"/>
      <c r="D40" s="206"/>
      <c r="E40" s="46"/>
      <c r="F40" s="7"/>
      <c r="G40" s="7"/>
      <c r="H40" s="7"/>
      <c r="I40" s="7"/>
      <c r="J40" s="7"/>
      <c r="K40" s="58">
        <f>((E25*E24)+(E26*E24*E27))/E28</f>
        <v>0.26429400000000003</v>
      </c>
      <c r="L40" s="51" t="s">
        <v>13</v>
      </c>
    </row>
    <row r="41" spans="1:14" ht="15.75" x14ac:dyDescent="0.25">
      <c r="A41" s="46" t="s">
        <v>12</v>
      </c>
      <c r="B41" s="206" t="s">
        <v>153</v>
      </c>
      <c r="C41" s="206"/>
      <c r="D41" s="206"/>
      <c r="E41" s="70">
        <v>3.0000000000000001E-6</v>
      </c>
      <c r="F41" s="193" t="s">
        <v>10</v>
      </c>
      <c r="G41" s="193"/>
      <c r="H41" s="193"/>
      <c r="I41" s="7"/>
      <c r="J41" s="7"/>
      <c r="K41" s="58">
        <f>(E41*E12)-(K40)</f>
        <v>1.32891114</v>
      </c>
      <c r="L41" s="51" t="s">
        <v>13</v>
      </c>
    </row>
    <row r="42" spans="1:14" ht="15.75" x14ac:dyDescent="0.25">
      <c r="A42" s="207"/>
      <c r="B42" s="207"/>
      <c r="C42" s="207"/>
      <c r="D42" s="207"/>
      <c r="E42" s="207"/>
      <c r="F42" s="7"/>
      <c r="G42" s="7"/>
      <c r="H42" s="7"/>
      <c r="I42" s="7"/>
      <c r="J42" s="7"/>
      <c r="K42" s="58">
        <f>SUM(K38:K41)</f>
        <v>4.8202820630769221</v>
      </c>
      <c r="L42" s="51" t="s">
        <v>13</v>
      </c>
    </row>
    <row r="43" spans="1:14" ht="21" customHeight="1" x14ac:dyDescent="0.25">
      <c r="A43" s="200" t="s">
        <v>144</v>
      </c>
      <c r="B43" s="200"/>
      <c r="C43" s="200"/>
      <c r="D43" s="200"/>
      <c r="E43" s="200"/>
      <c r="F43" s="200"/>
      <c r="G43" s="200"/>
      <c r="H43" s="200"/>
      <c r="I43" s="200"/>
      <c r="J43" s="200"/>
      <c r="K43" s="68">
        <f>K42*O14</f>
        <v>4543.0194388087375</v>
      </c>
      <c r="L43" s="52" t="s">
        <v>16</v>
      </c>
    </row>
    <row r="45" spans="1:14" ht="18.75" x14ac:dyDescent="0.3">
      <c r="A45" s="190" t="s">
        <v>145</v>
      </c>
      <c r="B45" s="190"/>
      <c r="C45" s="190"/>
      <c r="D45" s="190"/>
      <c r="E45" s="190"/>
      <c r="F45" s="190"/>
      <c r="G45" s="190"/>
      <c r="H45" s="190"/>
      <c r="I45" s="190"/>
      <c r="J45" s="190"/>
      <c r="K45" s="65">
        <f>K42*O16*1.1514</f>
        <v>6993.0916869577277</v>
      </c>
      <c r="L45" s="53" t="s">
        <v>16</v>
      </c>
    </row>
    <row r="46" spans="1:14" ht="15.75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</row>
    <row r="47" spans="1:14" ht="18.75" x14ac:dyDescent="0.3">
      <c r="A47" s="190" t="s">
        <v>146</v>
      </c>
      <c r="B47" s="190"/>
      <c r="C47" s="190"/>
      <c r="D47" s="190"/>
      <c r="E47" s="190"/>
      <c r="F47" s="190"/>
      <c r="G47" s="190"/>
      <c r="H47" s="190"/>
      <c r="I47" s="190"/>
      <c r="J47" s="190"/>
      <c r="K47" s="65">
        <f>K43+K45</f>
        <v>11536.111125766465</v>
      </c>
      <c r="L47" s="54" t="s">
        <v>16</v>
      </c>
    </row>
    <row r="49" spans="1:12" ht="15.75" x14ac:dyDescent="0.25">
      <c r="A49" s="197" t="s">
        <v>21</v>
      </c>
      <c r="B49" s="204"/>
      <c r="C49" s="204"/>
      <c r="D49" s="204"/>
      <c r="E49" s="204"/>
      <c r="F49" s="7"/>
      <c r="G49" s="7"/>
      <c r="H49" s="7"/>
      <c r="I49" s="7"/>
      <c r="J49" s="7"/>
      <c r="K49" s="7"/>
      <c r="L49" s="7"/>
    </row>
    <row r="50" spans="1:12" ht="15.75" x14ac:dyDescent="0.25">
      <c r="A50" s="3"/>
      <c r="B50" s="45"/>
      <c r="C50" s="45"/>
      <c r="D50" s="45"/>
      <c r="E50" s="45"/>
      <c r="F50" s="7"/>
      <c r="G50" s="7"/>
      <c r="H50" s="205" t="s">
        <v>25</v>
      </c>
      <c r="I50" s="205"/>
      <c r="J50" s="7"/>
      <c r="K50" s="7"/>
      <c r="L50" s="7"/>
    </row>
    <row r="51" spans="1:12" ht="15.75" x14ac:dyDescent="0.25">
      <c r="A51" s="7" t="s">
        <v>22</v>
      </c>
      <c r="B51" s="7"/>
      <c r="C51" s="193" t="s">
        <v>24</v>
      </c>
      <c r="D51" s="193"/>
      <c r="E51" s="193"/>
      <c r="F51" s="193"/>
      <c r="G51" s="7"/>
      <c r="H51" s="195"/>
      <c r="I51" s="195"/>
      <c r="J51" s="58"/>
      <c r="K51" s="129">
        <f>IF(L51="LINEAR",'DEPRECIAÇÃO LINEAR'!H23,(VLOOKUP(E15,'DEPRECIAÇÃO LINEAR'!W12:AM25,17,0)))</f>
        <v>3983.0128500000005</v>
      </c>
      <c r="L51" s="55" t="s">
        <v>130</v>
      </c>
    </row>
    <row r="52" spans="1:12" ht="15.75" x14ac:dyDescent="0.25">
      <c r="A52" s="7" t="s">
        <v>26</v>
      </c>
      <c r="B52" s="7"/>
      <c r="C52" s="193" t="s">
        <v>27</v>
      </c>
      <c r="D52" s="193"/>
      <c r="E52" s="193"/>
      <c r="F52" s="193"/>
      <c r="G52" s="7"/>
      <c r="H52" s="7"/>
      <c r="I52" s="7"/>
      <c r="J52" s="58"/>
      <c r="K52" s="58"/>
      <c r="L52" s="7"/>
    </row>
    <row r="53" spans="1:12" ht="15.75" x14ac:dyDescent="0.25">
      <c r="A53" s="7"/>
      <c r="B53" s="7" t="s">
        <v>31</v>
      </c>
      <c r="C53" s="193" t="s">
        <v>28</v>
      </c>
      <c r="D53" s="193"/>
      <c r="E53" s="193"/>
      <c r="F53" s="193"/>
      <c r="G53" s="7"/>
      <c r="H53" s="7"/>
      <c r="I53" s="7"/>
      <c r="J53" s="58"/>
      <c r="K53" s="58">
        <f>'Motorista de Veiculo Pesado'!E90</f>
        <v>8468.4608078400015</v>
      </c>
      <c r="L53" s="7"/>
    </row>
    <row r="54" spans="1:12" ht="15.75" x14ac:dyDescent="0.25">
      <c r="A54" s="7"/>
      <c r="B54" s="7" t="s">
        <v>32</v>
      </c>
      <c r="C54" s="193" t="s">
        <v>29</v>
      </c>
      <c r="D54" s="193"/>
      <c r="E54" s="193"/>
      <c r="F54" s="193"/>
      <c r="G54" s="7"/>
      <c r="H54" s="7"/>
      <c r="I54" s="7"/>
      <c r="J54" s="58"/>
      <c r="K54" s="58">
        <f>'Monitor de Transporte Escolar'!E90</f>
        <v>4485.726463695999</v>
      </c>
      <c r="L54" s="7"/>
    </row>
    <row r="55" spans="1:12" ht="15.75" x14ac:dyDescent="0.25">
      <c r="A55" s="7" t="s">
        <v>30</v>
      </c>
      <c r="B55" s="7"/>
      <c r="C55" s="193" t="s">
        <v>34</v>
      </c>
      <c r="D55" s="193"/>
      <c r="E55" s="193"/>
      <c r="F55" s="193"/>
      <c r="G55" s="7"/>
      <c r="H55" s="7"/>
      <c r="I55" s="7"/>
      <c r="J55" s="58"/>
      <c r="K55" s="58"/>
      <c r="L55" s="56"/>
    </row>
    <row r="56" spans="1:12" ht="15.75" x14ac:dyDescent="0.25">
      <c r="A56" s="7"/>
      <c r="B56" s="7" t="s">
        <v>33</v>
      </c>
      <c r="C56" s="7" t="s">
        <v>35</v>
      </c>
      <c r="D56" s="7"/>
      <c r="E56" s="7"/>
      <c r="F56" s="7"/>
      <c r="G56" s="7"/>
      <c r="H56" s="7"/>
      <c r="I56" s="7"/>
      <c r="J56" s="58">
        <f>1/100*E12</f>
        <v>5310.6837999999998</v>
      </c>
      <c r="K56" s="58">
        <f>J56/12</f>
        <v>442.55698333333333</v>
      </c>
      <c r="L56" s="7"/>
    </row>
    <row r="57" spans="1:12" ht="15.75" x14ac:dyDescent="0.25">
      <c r="A57" s="7"/>
      <c r="B57" s="7" t="s">
        <v>36</v>
      </c>
      <c r="C57" s="7" t="s">
        <v>37</v>
      </c>
      <c r="D57" s="7"/>
      <c r="E57" s="7"/>
      <c r="F57" s="7"/>
      <c r="G57" s="7"/>
      <c r="H57" s="7"/>
      <c r="I57" s="7"/>
      <c r="J57" s="58">
        <v>230.25</v>
      </c>
      <c r="K57" s="58">
        <f>J57/12</f>
        <v>19.1875</v>
      </c>
      <c r="L57" s="7"/>
    </row>
    <row r="58" spans="1:12" ht="15.75" x14ac:dyDescent="0.25">
      <c r="A58" s="7"/>
      <c r="B58" s="7" t="s">
        <v>38</v>
      </c>
      <c r="C58" s="193" t="s">
        <v>39</v>
      </c>
      <c r="D58" s="193"/>
      <c r="E58" s="193"/>
      <c r="F58" s="193"/>
      <c r="G58" s="7"/>
      <c r="H58" s="7"/>
      <c r="I58" s="7"/>
      <c r="J58" s="58">
        <v>161.80000000000001</v>
      </c>
      <c r="K58" s="58">
        <f>J58/12</f>
        <v>13.483333333333334</v>
      </c>
      <c r="L58" s="7"/>
    </row>
    <row r="59" spans="1:12" ht="15.75" x14ac:dyDescent="0.25">
      <c r="A59" s="7" t="s">
        <v>41</v>
      </c>
      <c r="B59" s="7"/>
      <c r="C59" s="7" t="s">
        <v>40</v>
      </c>
      <c r="D59" s="7"/>
      <c r="E59" s="7"/>
      <c r="F59" s="7"/>
      <c r="G59" s="7"/>
      <c r="H59" s="7"/>
      <c r="I59" s="7"/>
      <c r="J59" s="58">
        <v>0</v>
      </c>
      <c r="K59" s="58">
        <f>J59/12</f>
        <v>0</v>
      </c>
      <c r="L59" s="7"/>
    </row>
    <row r="60" spans="1:12" ht="15.75" x14ac:dyDescent="0.25">
      <c r="A60" s="7" t="s">
        <v>57</v>
      </c>
      <c r="B60" s="7"/>
      <c r="C60" s="193" t="s">
        <v>58</v>
      </c>
      <c r="D60" s="193"/>
      <c r="E60" s="193"/>
      <c r="F60" s="193"/>
      <c r="G60" s="193"/>
      <c r="H60" s="7"/>
      <c r="I60" s="7"/>
      <c r="J60" s="58">
        <f>Insumos!$B$8</f>
        <v>350.88</v>
      </c>
      <c r="K60" s="58">
        <f>4*J60</f>
        <v>1403.52</v>
      </c>
      <c r="L60" s="7"/>
    </row>
    <row r="61" spans="1:12" ht="15.75" x14ac:dyDescent="0.25">
      <c r="A61" s="7" t="s">
        <v>60</v>
      </c>
      <c r="B61" s="7"/>
      <c r="C61" s="45" t="s">
        <v>63</v>
      </c>
      <c r="D61" s="45"/>
      <c r="E61" s="45"/>
      <c r="F61" s="45"/>
      <c r="G61" s="45"/>
      <c r="H61" s="7"/>
      <c r="I61" s="7"/>
      <c r="J61" s="58">
        <f>Insumos!$B$9</f>
        <v>2680.95</v>
      </c>
      <c r="K61" s="58">
        <f>J61/12</f>
        <v>223.41249999999999</v>
      </c>
      <c r="L61" s="7"/>
    </row>
    <row r="62" spans="1:12" ht="15.75" x14ac:dyDescent="0.25">
      <c r="A62" s="7" t="s">
        <v>61</v>
      </c>
      <c r="B62" s="7"/>
      <c r="C62" s="193" t="s">
        <v>62</v>
      </c>
      <c r="D62" s="193"/>
      <c r="E62" s="193"/>
      <c r="F62" s="45"/>
      <c r="G62" s="45"/>
      <c r="H62" s="7"/>
      <c r="I62" s="7"/>
      <c r="J62" s="60">
        <f>Insumos!$B$10</f>
        <v>932.23</v>
      </c>
      <c r="K62" s="58">
        <f>J62/12</f>
        <v>77.685833333333335</v>
      </c>
      <c r="L62" s="7"/>
    </row>
    <row r="63" spans="1:12" ht="15.75" x14ac:dyDescent="0.25">
      <c r="A63" s="7" t="s">
        <v>142</v>
      </c>
      <c r="B63" s="7"/>
      <c r="C63" s="203" t="s">
        <v>143</v>
      </c>
      <c r="D63" s="203"/>
      <c r="E63" s="203"/>
      <c r="F63" s="203"/>
      <c r="G63" s="164"/>
      <c r="H63" s="7"/>
      <c r="I63" s="7"/>
      <c r="J63" s="60">
        <f>Insumos!$B$11</f>
        <v>471.82</v>
      </c>
      <c r="K63" s="72">
        <f>J63/24</f>
        <v>19.659166666666668</v>
      </c>
      <c r="L63" s="7"/>
    </row>
    <row r="64" spans="1:12" ht="15.75" x14ac:dyDescent="0.25">
      <c r="A64" s="7" t="s">
        <v>340</v>
      </c>
      <c r="B64" s="7"/>
      <c r="C64" s="165" t="s">
        <v>343</v>
      </c>
      <c r="D64" s="165"/>
      <c r="E64" s="165"/>
      <c r="F64" s="165"/>
      <c r="G64" s="164"/>
      <c r="H64" s="7"/>
      <c r="I64" s="7"/>
      <c r="J64" s="60">
        <f>Insumos!$B$12</f>
        <v>14.372399999999997</v>
      </c>
      <c r="K64" s="72">
        <f>J64/60</f>
        <v>0.23953999999999995</v>
      </c>
      <c r="L64" s="7"/>
    </row>
    <row r="65" spans="1:13" ht="20.25" customHeight="1" x14ac:dyDescent="0.25">
      <c r="A65" s="259" t="s">
        <v>43</v>
      </c>
      <c r="B65" s="260"/>
      <c r="C65" s="260"/>
      <c r="D65" s="260"/>
      <c r="E65" s="260"/>
      <c r="F65" s="260"/>
      <c r="G65" s="260"/>
      <c r="H65" s="260"/>
      <c r="I65" s="260"/>
      <c r="J65" s="261"/>
      <c r="K65" s="67">
        <f>SUM(K51:K64)</f>
        <v>19136.944978202664</v>
      </c>
      <c r="L65" s="57" t="s">
        <v>16</v>
      </c>
      <c r="M65" s="4"/>
    </row>
    <row r="67" spans="1:13" ht="19.5" customHeight="1" x14ac:dyDescent="0.3">
      <c r="A67" s="262" t="s">
        <v>132</v>
      </c>
      <c r="B67" s="263"/>
      <c r="C67" s="263"/>
      <c r="D67" s="263"/>
      <c r="E67" s="263"/>
      <c r="F67" s="263"/>
      <c r="G67" s="263"/>
      <c r="H67" s="263"/>
      <c r="I67" s="264"/>
      <c r="K67" s="66">
        <f>K47+K65</f>
        <v>30673.056103969131</v>
      </c>
    </row>
    <row r="69" spans="1:13" ht="15.75" x14ac:dyDescent="0.25">
      <c r="A69" s="254" t="s">
        <v>133</v>
      </c>
      <c r="B69" s="255"/>
      <c r="C69" s="255"/>
      <c r="D69" s="255"/>
      <c r="E69" s="256"/>
      <c r="I69" s="265" t="s">
        <v>55</v>
      </c>
      <c r="J69" s="266"/>
    </row>
    <row r="70" spans="1:13" ht="15.75" x14ac:dyDescent="0.25">
      <c r="A70" s="7" t="s">
        <v>341</v>
      </c>
      <c r="B70" s="7"/>
      <c r="C70" s="193" t="s">
        <v>54</v>
      </c>
      <c r="D70" s="193"/>
      <c r="E70" s="193"/>
      <c r="F70" s="193"/>
      <c r="G70" s="7"/>
      <c r="H70" s="7"/>
      <c r="I70" s="168">
        <f>Insumos!$B$15</f>
        <v>2.6599999999999999E-2</v>
      </c>
      <c r="J70" s="7"/>
      <c r="K70" s="58">
        <f>I70*K67</f>
        <v>815.90329236557886</v>
      </c>
      <c r="L70" s="7"/>
    </row>
    <row r="71" spans="1:13" ht="15.75" x14ac:dyDescent="0.25">
      <c r="A71" s="7" t="s">
        <v>342</v>
      </c>
      <c r="B71" s="7"/>
      <c r="C71" s="193" t="s">
        <v>59</v>
      </c>
      <c r="D71" s="193"/>
      <c r="E71" s="193"/>
      <c r="F71" s="193"/>
      <c r="G71" s="7"/>
      <c r="H71" s="7"/>
      <c r="I71" s="169">
        <f>Insumos!$B$16</f>
        <v>0.04</v>
      </c>
      <c r="J71" s="7"/>
      <c r="K71" s="58">
        <f>I71*(K67+K70)</f>
        <v>1259.5583758533885</v>
      </c>
      <c r="L71" s="7"/>
    </row>
    <row r="72" spans="1:13" ht="18.75" x14ac:dyDescent="0.3">
      <c r="A72" s="7"/>
      <c r="B72" s="7"/>
      <c r="C72" s="7"/>
      <c r="D72" s="7"/>
      <c r="E72" s="7"/>
      <c r="F72" s="7"/>
      <c r="G72" s="7"/>
      <c r="H72" s="7"/>
      <c r="I72" s="7"/>
      <c r="J72" s="61" t="s">
        <v>131</v>
      </c>
      <c r="K72" s="65">
        <f>SUM(K70:K71)</f>
        <v>2075.4616682189671</v>
      </c>
      <c r="L72" s="54" t="s">
        <v>16</v>
      </c>
    </row>
    <row r="74" spans="1:13" ht="15.75" x14ac:dyDescent="0.25">
      <c r="A74" s="254" t="s">
        <v>134</v>
      </c>
      <c r="B74" s="255"/>
      <c r="C74" s="255"/>
      <c r="D74" s="255"/>
      <c r="E74" s="256"/>
      <c r="F74" s="7"/>
      <c r="G74" s="7"/>
      <c r="H74" s="7"/>
      <c r="I74" s="7"/>
      <c r="J74" s="7"/>
      <c r="K74" s="7"/>
      <c r="L74" s="7"/>
    </row>
    <row r="75" spans="1:13" ht="15.75" x14ac:dyDescent="0.25">
      <c r="A75" s="193" t="s">
        <v>42</v>
      </c>
      <c r="B75" s="193"/>
      <c r="C75" s="193"/>
      <c r="D75" s="193"/>
      <c r="E75" s="193"/>
      <c r="F75" s="193"/>
      <c r="G75" s="7"/>
      <c r="H75" s="7"/>
      <c r="I75" s="219" t="s">
        <v>47</v>
      </c>
      <c r="J75" s="220"/>
      <c r="K75" s="51">
        <f>K67+K72</f>
        <v>32748.517772188097</v>
      </c>
      <c r="L75" s="7"/>
    </row>
    <row r="76" spans="1:13" ht="15.75" x14ac:dyDescent="0.25">
      <c r="A76" s="7" t="s">
        <v>53</v>
      </c>
      <c r="C76" s="7" t="s">
        <v>44</v>
      </c>
      <c r="D76" s="7"/>
      <c r="E76" s="7"/>
      <c r="F76" s="7"/>
      <c r="G76" s="7"/>
      <c r="H76" s="7"/>
      <c r="I76" s="257">
        <f>Insumos!$B$18</f>
        <v>0.05</v>
      </c>
      <c r="J76" s="258"/>
      <c r="K76" s="51">
        <f>$K$75/(1-(SUM($I$76:$J$78)))*I76</f>
        <v>1792.4749738471867</v>
      </c>
      <c r="L76" s="7"/>
    </row>
    <row r="77" spans="1:13" ht="15.75" x14ac:dyDescent="0.25">
      <c r="A77" s="7" t="s">
        <v>344</v>
      </c>
      <c r="C77" s="7" t="s">
        <v>45</v>
      </c>
      <c r="D77" s="7"/>
      <c r="E77" s="7"/>
      <c r="F77" s="7"/>
      <c r="G77" s="7"/>
      <c r="H77" s="7"/>
      <c r="I77" s="257">
        <f>Insumos!$B$19</f>
        <v>6.4999999999999997E-3</v>
      </c>
      <c r="J77" s="258"/>
      <c r="K77" s="51">
        <f>$K$75/(1-(SUM($I$76:$J$78)))*I77</f>
        <v>233.02174660013426</v>
      </c>
      <c r="L77" s="7"/>
    </row>
    <row r="78" spans="1:13" ht="15.75" x14ac:dyDescent="0.25">
      <c r="A78" s="7" t="s">
        <v>345</v>
      </c>
      <c r="C78" s="7" t="s">
        <v>46</v>
      </c>
      <c r="D78" s="7"/>
      <c r="E78" s="7"/>
      <c r="F78" s="7"/>
      <c r="G78" s="7"/>
      <c r="H78" s="7"/>
      <c r="I78" s="257">
        <f>Insumos!$B$20</f>
        <v>0.03</v>
      </c>
      <c r="J78" s="258"/>
      <c r="K78" s="51">
        <f>$K$75/(1-(SUM($I$76:$J$78)))*I78</f>
        <v>1075.4849843083121</v>
      </c>
      <c r="L78" s="7"/>
    </row>
    <row r="79" spans="1:13" ht="21" customHeight="1" x14ac:dyDescent="0.3">
      <c r="A79" s="251" t="s">
        <v>48</v>
      </c>
      <c r="B79" s="252"/>
      <c r="C79" s="252"/>
      <c r="D79" s="252"/>
      <c r="E79" s="252"/>
      <c r="F79" s="252"/>
      <c r="G79" s="252"/>
      <c r="H79" s="252"/>
      <c r="I79" s="252"/>
      <c r="J79" s="253"/>
      <c r="K79" s="64">
        <f>SUM(K76:K78)</f>
        <v>3100.981704755633</v>
      </c>
      <c r="L79" s="54" t="s">
        <v>16</v>
      </c>
    </row>
    <row r="81" spans="1:20" x14ac:dyDescent="0.25">
      <c r="C81" s="5"/>
      <c r="D81" s="5"/>
      <c r="E81" s="5"/>
      <c r="F81" s="5"/>
      <c r="K81" s="2"/>
    </row>
    <row r="82" spans="1:20" ht="15.75" x14ac:dyDescent="0.25">
      <c r="A82" s="191" t="s">
        <v>56</v>
      </c>
      <c r="B82" s="191"/>
      <c r="C82" s="191"/>
      <c r="D82" s="191"/>
      <c r="E82" s="191"/>
      <c r="F82" s="191"/>
      <c r="G82" s="191"/>
      <c r="H82" s="191"/>
      <c r="I82" s="191"/>
      <c r="T82" s="43"/>
    </row>
    <row r="83" spans="1:20" ht="15.75" x14ac:dyDescent="0.25">
      <c r="A83" s="6"/>
      <c r="B83" s="6"/>
      <c r="C83" s="6"/>
      <c r="D83" s="6"/>
      <c r="E83" s="6"/>
      <c r="F83" s="6"/>
      <c r="G83" s="6"/>
      <c r="H83" s="6"/>
      <c r="I83" s="6"/>
    </row>
    <row r="84" spans="1:20" ht="15.75" x14ac:dyDescent="0.25">
      <c r="A84" s="191" t="s">
        <v>51</v>
      </c>
      <c r="B84" s="192"/>
      <c r="C84" s="192"/>
      <c r="D84" s="192"/>
      <c r="E84" s="192"/>
      <c r="F84" s="192"/>
      <c r="G84" s="192"/>
      <c r="H84" s="192"/>
    </row>
    <row r="85" spans="1:20" ht="20.25" customHeight="1" x14ac:dyDescent="0.3">
      <c r="A85" s="193" t="s">
        <v>135</v>
      </c>
      <c r="B85" s="193"/>
      <c r="C85" s="193"/>
      <c r="D85" s="193"/>
      <c r="E85" s="193"/>
      <c r="F85" s="193"/>
      <c r="G85" s="193"/>
      <c r="H85" s="193"/>
      <c r="I85" s="193"/>
      <c r="J85" s="193"/>
      <c r="K85" s="62">
        <f>K67+K72+K79</f>
        <v>35849.499476943733</v>
      </c>
    </row>
    <row r="86" spans="1:20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2"/>
    </row>
    <row r="87" spans="1:20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2"/>
      <c r="P87" s="42"/>
    </row>
    <row r="88" spans="1:20" ht="8.25" customHeight="1" x14ac:dyDescent="0.25"/>
    <row r="89" spans="1:20" ht="16.5" customHeight="1" x14ac:dyDescent="0.25">
      <c r="A89" s="194" t="s">
        <v>49</v>
      </c>
      <c r="B89" s="195"/>
      <c r="C89" s="195"/>
      <c r="D89" s="195"/>
      <c r="E89" s="195"/>
      <c r="F89" s="195"/>
      <c r="G89" s="195"/>
      <c r="H89" s="195"/>
      <c r="I89" s="195"/>
      <c r="J89" s="195"/>
      <c r="K89" s="7"/>
      <c r="L89" s="7"/>
    </row>
    <row r="90" spans="1:20" ht="24.75" customHeight="1" x14ac:dyDescent="0.3">
      <c r="A90" s="196" t="s">
        <v>141</v>
      </c>
      <c r="B90" s="196"/>
      <c r="C90" s="196"/>
      <c r="D90" s="196"/>
      <c r="E90" s="196"/>
      <c r="F90" s="196"/>
      <c r="G90" s="196"/>
      <c r="H90" s="196"/>
      <c r="I90" s="196"/>
      <c r="J90" s="196"/>
      <c r="K90" s="71">
        <f>K85/O18</f>
        <v>16.276878553695713</v>
      </c>
      <c r="L90" s="63" t="s">
        <v>50</v>
      </c>
    </row>
    <row r="94" spans="1:20" s="10" customFormat="1" x14ac:dyDescent="0.25"/>
    <row r="95" spans="1:20" s="11" customFormat="1" ht="18.75" x14ac:dyDescent="0.3">
      <c r="B95" s="12" t="s">
        <v>69</v>
      </c>
      <c r="D95" s="188" t="s">
        <v>65</v>
      </c>
      <c r="E95" s="188"/>
      <c r="L95" s="12" t="s">
        <v>69</v>
      </c>
      <c r="M95" s="12"/>
      <c r="N95" s="12" t="s">
        <v>75</v>
      </c>
      <c r="O95" s="12"/>
    </row>
    <row r="96" spans="1:20" s="11" customFormat="1" x14ac:dyDescent="0.25"/>
    <row r="97" spans="2:18" s="11" customFormat="1" x14ac:dyDescent="0.25">
      <c r="B97" s="184" t="s">
        <v>66</v>
      </c>
      <c r="C97" s="184"/>
      <c r="D97" s="13"/>
      <c r="E97" s="13"/>
      <c r="F97" s="189">
        <v>288912</v>
      </c>
      <c r="G97" s="189"/>
      <c r="L97" s="13" t="s">
        <v>66</v>
      </c>
      <c r="M97" s="13"/>
      <c r="N97" s="13"/>
      <c r="O97" s="13"/>
      <c r="P97" s="13"/>
      <c r="Q97" s="30">
        <v>271500</v>
      </c>
    </row>
    <row r="98" spans="2:18" s="11" customFormat="1" x14ac:dyDescent="0.25">
      <c r="B98" s="13" t="s">
        <v>67</v>
      </c>
      <c r="D98" s="13"/>
      <c r="E98" s="13"/>
      <c r="F98" s="185">
        <v>10</v>
      </c>
      <c r="G98" s="185"/>
      <c r="H98" s="11" t="s">
        <v>154</v>
      </c>
      <c r="L98" s="13" t="s">
        <v>67</v>
      </c>
      <c r="M98" s="13"/>
      <c r="N98" s="13"/>
      <c r="O98" s="13"/>
      <c r="P98" s="13"/>
      <c r="Q98" s="13">
        <v>10</v>
      </c>
      <c r="R98" s="11" t="s">
        <v>154</v>
      </c>
    </row>
    <row r="99" spans="2:18" s="11" customFormat="1" x14ac:dyDescent="0.25">
      <c r="B99" s="13" t="s">
        <v>81</v>
      </c>
      <c r="D99" s="13"/>
      <c r="E99" s="13"/>
      <c r="F99" s="14"/>
      <c r="G99" s="14">
        <v>2018</v>
      </c>
      <c r="L99" s="13" t="s">
        <v>81</v>
      </c>
      <c r="N99" s="13"/>
      <c r="O99" s="13"/>
      <c r="P99" s="14"/>
      <c r="Q99" s="14">
        <v>2018</v>
      </c>
    </row>
    <row r="100" spans="2:18" s="11" customFormat="1" x14ac:dyDescent="0.25">
      <c r="B100" s="184" t="s">
        <v>68</v>
      </c>
      <c r="C100" s="184"/>
      <c r="D100" s="184"/>
      <c r="F100" s="185">
        <v>6</v>
      </c>
      <c r="G100" s="185"/>
      <c r="L100" s="13" t="s">
        <v>76</v>
      </c>
      <c r="M100" s="13"/>
      <c r="N100" s="13"/>
      <c r="O100" s="13"/>
      <c r="P100" s="13"/>
      <c r="Q100" s="13">
        <v>6</v>
      </c>
    </row>
    <row r="101" spans="2:18" s="11" customFormat="1" x14ac:dyDescent="0.25">
      <c r="B101" s="184" t="s">
        <v>71</v>
      </c>
      <c r="C101" s="184"/>
      <c r="D101" s="184"/>
      <c r="F101" s="14"/>
      <c r="G101" s="17">
        <v>100000</v>
      </c>
      <c r="L101" s="13" t="s">
        <v>71</v>
      </c>
      <c r="M101" s="13"/>
      <c r="N101" s="13"/>
      <c r="O101" s="13"/>
      <c r="P101" s="13"/>
      <c r="Q101" s="19">
        <v>100000</v>
      </c>
    </row>
    <row r="102" spans="2:18" s="11" customFormat="1" x14ac:dyDescent="0.25">
      <c r="B102" s="184" t="s">
        <v>72</v>
      </c>
      <c r="C102" s="184"/>
      <c r="D102" s="184"/>
      <c r="F102" s="14"/>
      <c r="G102" s="20">
        <v>1533.77</v>
      </c>
      <c r="L102" s="13" t="s">
        <v>72</v>
      </c>
      <c r="M102" s="13"/>
      <c r="N102" s="13"/>
      <c r="O102" s="13"/>
      <c r="P102" s="13"/>
      <c r="Q102" s="69">
        <v>860.69</v>
      </c>
    </row>
    <row r="103" spans="2:18" s="11" customFormat="1" x14ac:dyDescent="0.25">
      <c r="B103" s="184" t="s">
        <v>73</v>
      </c>
      <c r="C103" s="184"/>
      <c r="D103" s="15"/>
      <c r="F103" s="14"/>
      <c r="G103" s="14">
        <v>2.6</v>
      </c>
      <c r="H103" s="13" t="s">
        <v>74</v>
      </c>
      <c r="L103" s="13" t="s">
        <v>73</v>
      </c>
      <c r="M103" s="13"/>
      <c r="N103" s="13"/>
      <c r="O103" s="13"/>
      <c r="P103" s="13"/>
      <c r="Q103" s="13">
        <v>4.7</v>
      </c>
    </row>
    <row r="104" spans="2:18" s="11" customFormat="1" x14ac:dyDescent="0.25">
      <c r="B104" s="184" t="s">
        <v>70</v>
      </c>
      <c r="C104" s="184"/>
      <c r="D104" s="184"/>
      <c r="F104" s="185" t="s">
        <v>125</v>
      </c>
      <c r="G104" s="185"/>
      <c r="L104" s="13" t="s">
        <v>70</v>
      </c>
      <c r="M104" s="13"/>
      <c r="N104" s="13"/>
      <c r="O104" s="13"/>
      <c r="P104" s="13"/>
      <c r="Q104" s="13" t="s">
        <v>124</v>
      </c>
    </row>
    <row r="105" spans="2:18" s="11" customFormat="1" x14ac:dyDescent="0.25"/>
    <row r="106" spans="2:18" s="11" customFormat="1" x14ac:dyDescent="0.25"/>
    <row r="107" spans="2:18" s="11" customFormat="1" ht="18.75" x14ac:dyDescent="0.3">
      <c r="B107" s="12" t="s">
        <v>69</v>
      </c>
      <c r="C107" s="12"/>
      <c r="D107" s="12" t="s">
        <v>77</v>
      </c>
      <c r="E107" s="13"/>
      <c r="F107" s="13"/>
      <c r="G107" s="13"/>
      <c r="H107" s="13"/>
      <c r="L107" s="12" t="s">
        <v>69</v>
      </c>
      <c r="M107" s="16"/>
      <c r="N107" s="16"/>
      <c r="O107" s="12" t="s">
        <v>78</v>
      </c>
    </row>
    <row r="108" spans="2:18" s="11" customFormat="1" x14ac:dyDescent="0.25">
      <c r="B108" s="13"/>
      <c r="C108" s="13"/>
      <c r="D108" s="13"/>
      <c r="E108" s="13"/>
      <c r="F108" s="13"/>
      <c r="G108" s="13"/>
      <c r="H108" s="13"/>
    </row>
    <row r="109" spans="2:18" s="11" customFormat="1" x14ac:dyDescent="0.25">
      <c r="B109" s="184" t="s">
        <v>66</v>
      </c>
      <c r="C109" s="184"/>
      <c r="D109" s="13"/>
      <c r="E109" s="13"/>
      <c r="F109" s="185">
        <v>400</v>
      </c>
      <c r="G109" s="185"/>
      <c r="H109" s="13"/>
      <c r="L109" s="184" t="s">
        <v>66</v>
      </c>
      <c r="M109" s="184"/>
      <c r="N109" s="13"/>
      <c r="O109" s="13"/>
      <c r="P109" s="185" t="s">
        <v>78</v>
      </c>
      <c r="Q109" s="185"/>
      <c r="R109" s="13"/>
    </row>
    <row r="110" spans="2:18" s="11" customFormat="1" x14ac:dyDescent="0.25">
      <c r="B110" s="13" t="s">
        <v>67</v>
      </c>
      <c r="C110" s="13"/>
      <c r="D110" s="13"/>
      <c r="E110" s="13"/>
      <c r="F110" s="185">
        <v>10</v>
      </c>
      <c r="G110" s="185"/>
      <c r="H110" s="13" t="s">
        <v>154</v>
      </c>
      <c r="L110" s="13" t="s">
        <v>67</v>
      </c>
      <c r="M110" s="13"/>
      <c r="N110" s="13"/>
      <c r="O110" s="13"/>
      <c r="P110" s="185">
        <v>8</v>
      </c>
      <c r="Q110" s="185"/>
      <c r="R110" s="13" t="s">
        <v>154</v>
      </c>
    </row>
    <row r="111" spans="2:18" s="11" customFormat="1" x14ac:dyDescent="0.25">
      <c r="B111" s="13" t="s">
        <v>81</v>
      </c>
      <c r="D111" s="13"/>
      <c r="E111" s="13"/>
      <c r="F111" s="14"/>
      <c r="G111" s="14" t="s">
        <v>82</v>
      </c>
      <c r="L111" s="13" t="s">
        <v>81</v>
      </c>
      <c r="N111" s="13"/>
      <c r="O111" s="13"/>
      <c r="P111" s="14"/>
      <c r="Q111" s="14" t="s">
        <v>83</v>
      </c>
      <c r="R111" s="13"/>
    </row>
    <row r="112" spans="2:18" s="11" customFormat="1" x14ac:dyDescent="0.25">
      <c r="B112" s="184" t="s">
        <v>68</v>
      </c>
      <c r="C112" s="184"/>
      <c r="D112" s="184"/>
      <c r="E112" s="13"/>
      <c r="F112" s="185" t="s">
        <v>87</v>
      </c>
      <c r="G112" s="185"/>
      <c r="H112" s="13"/>
      <c r="L112" s="184" t="s">
        <v>68</v>
      </c>
      <c r="M112" s="184"/>
      <c r="N112" s="184"/>
      <c r="O112" s="13"/>
      <c r="P112" s="185" t="s">
        <v>88</v>
      </c>
      <c r="Q112" s="185"/>
      <c r="R112" s="13"/>
    </row>
    <row r="113" spans="2:21" s="11" customFormat="1" x14ac:dyDescent="0.25">
      <c r="B113" s="184" t="s">
        <v>71</v>
      </c>
      <c r="C113" s="184"/>
      <c r="D113" s="184"/>
      <c r="E113" s="13"/>
      <c r="F113" s="14"/>
      <c r="G113" s="14" t="s">
        <v>89</v>
      </c>
      <c r="H113" s="13"/>
      <c r="L113" s="184" t="s">
        <v>71</v>
      </c>
      <c r="M113" s="184"/>
      <c r="N113" s="184"/>
      <c r="O113" s="13"/>
      <c r="P113" s="14"/>
      <c r="Q113" s="14" t="s">
        <v>90</v>
      </c>
      <c r="R113" s="13"/>
    </row>
    <row r="114" spans="2:21" s="11" customFormat="1" x14ac:dyDescent="0.25">
      <c r="B114" s="184" t="s">
        <v>72</v>
      </c>
      <c r="C114" s="184"/>
      <c r="D114" s="184"/>
      <c r="E114" s="13"/>
      <c r="F114" s="14"/>
      <c r="G114" s="14">
        <v>400</v>
      </c>
      <c r="H114" s="13"/>
      <c r="L114" s="184" t="s">
        <v>72</v>
      </c>
      <c r="M114" s="184"/>
      <c r="N114" s="184"/>
      <c r="O114" s="13"/>
      <c r="P114" s="14"/>
      <c r="Q114" s="14">
        <v>4444</v>
      </c>
      <c r="R114" s="13"/>
    </row>
    <row r="115" spans="2:21" s="11" customFormat="1" x14ac:dyDescent="0.25">
      <c r="B115" s="184" t="s">
        <v>73</v>
      </c>
      <c r="C115" s="184"/>
      <c r="D115" s="15"/>
      <c r="E115" s="13"/>
      <c r="F115" s="14"/>
      <c r="G115" s="14">
        <v>2</v>
      </c>
      <c r="H115" s="13" t="s">
        <v>74</v>
      </c>
      <c r="L115" s="184" t="s">
        <v>73</v>
      </c>
      <c r="M115" s="184"/>
      <c r="N115" s="15"/>
      <c r="O115" s="13"/>
      <c r="P115" s="14"/>
      <c r="Q115" s="14">
        <v>4</v>
      </c>
      <c r="R115" s="13" t="s">
        <v>74</v>
      </c>
    </row>
    <row r="116" spans="2:21" s="11" customFormat="1" x14ac:dyDescent="0.25">
      <c r="B116" s="184" t="s">
        <v>70</v>
      </c>
      <c r="C116" s="184"/>
      <c r="D116" s="184"/>
      <c r="E116" s="13"/>
      <c r="F116" s="185" t="s">
        <v>85</v>
      </c>
      <c r="G116" s="185"/>
      <c r="H116" s="13"/>
      <c r="L116" s="184" t="s">
        <v>70</v>
      </c>
      <c r="M116" s="184"/>
      <c r="N116" s="184"/>
      <c r="O116" s="13"/>
      <c r="P116" s="185" t="s">
        <v>86</v>
      </c>
      <c r="Q116" s="185"/>
      <c r="R116" s="13"/>
    </row>
    <row r="117" spans="2:21" s="11" customFormat="1" x14ac:dyDescent="0.25"/>
    <row r="118" spans="2:21" s="11" customFormat="1" x14ac:dyDescent="0.25"/>
    <row r="119" spans="2:21" s="11" customFormat="1" ht="18.75" x14ac:dyDescent="0.3">
      <c r="Q119" s="12" t="s">
        <v>65</v>
      </c>
      <c r="R119" s="12"/>
      <c r="T119" s="13" t="s">
        <v>130</v>
      </c>
      <c r="U119" s="13"/>
    </row>
    <row r="120" spans="2:21" s="11" customFormat="1" ht="18.75" x14ac:dyDescent="0.3">
      <c r="Q120" s="12" t="s">
        <v>75</v>
      </c>
      <c r="T120" s="13" t="s">
        <v>129</v>
      </c>
      <c r="U120" s="13"/>
    </row>
    <row r="121" spans="2:21" s="11" customFormat="1" ht="18.75" x14ac:dyDescent="0.3">
      <c r="Q121" s="12" t="s">
        <v>77</v>
      </c>
    </row>
    <row r="122" spans="2:21" s="11" customFormat="1" ht="18" customHeight="1" x14ac:dyDescent="0.3">
      <c r="B122" s="186" t="s">
        <v>172</v>
      </c>
      <c r="C122" s="186"/>
      <c r="Q122" s="12" t="s">
        <v>78</v>
      </c>
    </row>
    <row r="123" spans="2:21" ht="0.75" hidden="1" customHeight="1" x14ac:dyDescent="0.25">
      <c r="B123" s="186"/>
      <c r="C123" s="186"/>
    </row>
    <row r="124" spans="2:21" hidden="1" x14ac:dyDescent="0.25">
      <c r="B124" s="186"/>
      <c r="C124" s="186"/>
    </row>
    <row r="125" spans="2:21" x14ac:dyDescent="0.25">
      <c r="B125" s="186"/>
      <c r="C125" s="186"/>
    </row>
    <row r="126" spans="2:21" ht="24.75" x14ac:dyDescent="0.25">
      <c r="B126" s="94" t="s">
        <v>173</v>
      </c>
      <c r="C126" s="9" t="s">
        <v>174</v>
      </c>
      <c r="D126" s="9"/>
      <c r="E126" s="9"/>
      <c r="F126" s="9" t="s">
        <v>175</v>
      </c>
      <c r="G126" s="9"/>
      <c r="H126" s="9"/>
      <c r="I126" s="9" t="s">
        <v>176</v>
      </c>
      <c r="J126" s="9"/>
      <c r="K126" s="9"/>
      <c r="L126" s="9" t="s">
        <v>177</v>
      </c>
      <c r="M126" s="9"/>
      <c r="N126" s="9"/>
    </row>
    <row r="127" spans="2:21" x14ac:dyDescent="0.25">
      <c r="B127" s="5">
        <v>40</v>
      </c>
      <c r="C127" s="2">
        <f>$K$42*(B127*21)</f>
        <v>4049.0369329846144</v>
      </c>
      <c r="F127" s="2">
        <f>(C127+$K$65)*0.05</f>
        <v>1159.2990955593639</v>
      </c>
      <c r="I127" s="2">
        <f>(C127+$K$65+F127)*6%</f>
        <v>1460.7168604047984</v>
      </c>
      <c r="L127" s="31">
        <f>(C127+$K$65+F127+I127)*14.25%</f>
        <v>3677.3546960690801</v>
      </c>
      <c r="M127" s="9"/>
      <c r="N127" s="9"/>
    </row>
    <row r="128" spans="2:21" x14ac:dyDescent="0.25">
      <c r="B128" s="5">
        <v>50</v>
      </c>
      <c r="C128" s="2">
        <f t="shared" ref="C128:C139" si="0">$K$42*(B128*21)</f>
        <v>5061.296166230768</v>
      </c>
      <c r="F128" s="2">
        <f t="shared" ref="F128:F139" si="1">(C128+$K$65)*0.05</f>
        <v>1209.9120572216716</v>
      </c>
      <c r="I128" s="2">
        <f t="shared" ref="I128:I139" si="2">(C128+$K$65+F128)*6%</f>
        <v>1524.4891920993061</v>
      </c>
      <c r="L128" s="31">
        <f t="shared" ref="L128:L139" si="3">(C128+$K$65+F128+I128)*14.25%</f>
        <v>3837.9015411100031</v>
      </c>
      <c r="M128" s="9"/>
      <c r="N128" s="9"/>
    </row>
    <row r="129" spans="2:14" x14ac:dyDescent="0.25">
      <c r="B129" s="5">
        <v>60</v>
      </c>
      <c r="C129" s="2">
        <f t="shared" si="0"/>
        <v>6073.5553994769216</v>
      </c>
      <c r="F129" s="2">
        <f t="shared" si="1"/>
        <v>1260.5250188839793</v>
      </c>
      <c r="I129" s="2">
        <f t="shared" si="2"/>
        <v>1588.2615237938137</v>
      </c>
      <c r="L129" s="31">
        <f t="shared" si="3"/>
        <v>3998.4483861509261</v>
      </c>
      <c r="M129" s="9"/>
      <c r="N129" s="9"/>
    </row>
    <row r="130" spans="2:14" x14ac:dyDescent="0.25">
      <c r="B130" s="5">
        <v>70</v>
      </c>
      <c r="C130" s="2">
        <f t="shared" si="0"/>
        <v>7085.8146327230752</v>
      </c>
      <c r="F130" s="2">
        <f t="shared" si="1"/>
        <v>1311.1379805462871</v>
      </c>
      <c r="I130" s="2">
        <f t="shared" si="2"/>
        <v>1652.0338554883215</v>
      </c>
      <c r="L130" s="31">
        <f t="shared" si="3"/>
        <v>4158.9952311918487</v>
      </c>
      <c r="M130" s="9"/>
      <c r="N130" s="9"/>
    </row>
    <row r="131" spans="2:14" x14ac:dyDescent="0.25">
      <c r="B131" s="5">
        <v>80</v>
      </c>
      <c r="C131" s="2">
        <f t="shared" si="0"/>
        <v>8098.0738659692288</v>
      </c>
      <c r="F131" s="2">
        <f t="shared" si="1"/>
        <v>1361.7509422085948</v>
      </c>
      <c r="I131" s="2">
        <f t="shared" si="2"/>
        <v>1715.806187182829</v>
      </c>
      <c r="L131" s="31">
        <f t="shared" si="3"/>
        <v>4319.5420762327722</v>
      </c>
      <c r="M131" s="9"/>
      <c r="N131" s="9"/>
    </row>
    <row r="132" spans="2:14" x14ac:dyDescent="0.25">
      <c r="B132" s="5">
        <v>90</v>
      </c>
      <c r="C132" s="2">
        <f t="shared" si="0"/>
        <v>9110.3330992153824</v>
      </c>
      <c r="F132" s="2">
        <f t="shared" si="1"/>
        <v>1412.3639038709025</v>
      </c>
      <c r="I132" s="2">
        <f t="shared" si="2"/>
        <v>1779.578518877337</v>
      </c>
      <c r="L132" s="31">
        <f t="shared" si="3"/>
        <v>4480.0889212736956</v>
      </c>
      <c r="M132" s="9"/>
      <c r="N132" s="9"/>
    </row>
    <row r="133" spans="2:14" x14ac:dyDescent="0.25">
      <c r="B133" s="5">
        <v>100</v>
      </c>
      <c r="C133" s="2">
        <f t="shared" si="0"/>
        <v>10122.592332461536</v>
      </c>
      <c r="F133" s="2">
        <f t="shared" si="1"/>
        <v>1462.97686553321</v>
      </c>
      <c r="I133" s="2">
        <f t="shared" si="2"/>
        <v>1843.3508505718444</v>
      </c>
      <c r="L133" s="31">
        <f t="shared" si="3"/>
        <v>4640.6357663146182</v>
      </c>
      <c r="M133" s="9"/>
      <c r="N133" s="9"/>
    </row>
    <row r="134" spans="2:14" x14ac:dyDescent="0.25">
      <c r="B134" s="5">
        <v>110</v>
      </c>
      <c r="C134" s="2">
        <f t="shared" si="0"/>
        <v>11134.85156570769</v>
      </c>
      <c r="F134" s="2">
        <f t="shared" si="1"/>
        <v>1513.5898271955177</v>
      </c>
      <c r="I134" s="2">
        <f t="shared" si="2"/>
        <v>1907.1231822663524</v>
      </c>
      <c r="L134" s="31">
        <f t="shared" si="3"/>
        <v>4801.1826113555417</v>
      </c>
      <c r="M134" s="9"/>
      <c r="N134" s="9"/>
    </row>
    <row r="135" spans="2:14" x14ac:dyDescent="0.25">
      <c r="B135" s="5">
        <v>120</v>
      </c>
      <c r="C135" s="2">
        <f t="shared" si="0"/>
        <v>12147.110798953843</v>
      </c>
      <c r="F135" s="2">
        <f t="shared" si="1"/>
        <v>1564.2027888578255</v>
      </c>
      <c r="I135" s="2">
        <f t="shared" si="2"/>
        <v>1970.8955139608597</v>
      </c>
      <c r="L135" s="31">
        <f t="shared" si="3"/>
        <v>4961.7294563964642</v>
      </c>
      <c r="M135" s="9"/>
      <c r="N135" s="9"/>
    </row>
    <row r="136" spans="2:14" x14ac:dyDescent="0.25">
      <c r="B136" s="5">
        <v>130</v>
      </c>
      <c r="C136" s="2">
        <f t="shared" si="0"/>
        <v>13159.370032199997</v>
      </c>
      <c r="F136" s="2">
        <f t="shared" si="1"/>
        <v>1614.8157505201332</v>
      </c>
      <c r="I136" s="2">
        <f t="shared" si="2"/>
        <v>2034.6678456553677</v>
      </c>
      <c r="L136" s="31">
        <f t="shared" si="3"/>
        <v>5122.2763014373886</v>
      </c>
      <c r="M136" s="9"/>
      <c r="N136" s="9"/>
    </row>
    <row r="137" spans="2:14" x14ac:dyDescent="0.25">
      <c r="B137" s="5">
        <v>140</v>
      </c>
      <c r="C137" s="2">
        <f t="shared" si="0"/>
        <v>14171.62926544615</v>
      </c>
      <c r="F137" s="2">
        <f t="shared" si="1"/>
        <v>1665.4287121824409</v>
      </c>
      <c r="I137" s="2">
        <f t="shared" si="2"/>
        <v>2098.4401773498753</v>
      </c>
      <c r="L137" s="31">
        <f t="shared" si="3"/>
        <v>5282.8231464783103</v>
      </c>
      <c r="M137" s="9"/>
      <c r="N137" s="9"/>
    </row>
    <row r="138" spans="2:14" x14ac:dyDescent="0.25">
      <c r="B138" s="5">
        <v>150</v>
      </c>
      <c r="C138" s="2">
        <f t="shared" si="0"/>
        <v>15183.888498692304</v>
      </c>
      <c r="F138" s="2">
        <f t="shared" si="1"/>
        <v>1716.0416738447486</v>
      </c>
      <c r="I138" s="2">
        <f t="shared" si="2"/>
        <v>2162.2125090443828</v>
      </c>
      <c r="L138" s="31">
        <f t="shared" si="3"/>
        <v>5443.3699915192337</v>
      </c>
      <c r="M138" s="9"/>
      <c r="N138" s="9"/>
    </row>
    <row r="139" spans="2:14" x14ac:dyDescent="0.25">
      <c r="B139" s="5">
        <v>160</v>
      </c>
      <c r="C139" s="2">
        <f t="shared" si="0"/>
        <v>16196.147731938458</v>
      </c>
      <c r="F139" s="2">
        <f t="shared" si="1"/>
        <v>1766.6546355070561</v>
      </c>
      <c r="I139" s="2">
        <f t="shared" si="2"/>
        <v>2225.9848407388904</v>
      </c>
      <c r="L139" s="31">
        <f t="shared" si="3"/>
        <v>5603.9168365601563</v>
      </c>
      <c r="M139" s="9"/>
      <c r="N139" s="9"/>
    </row>
    <row r="140" spans="2:14" x14ac:dyDescent="0.25">
      <c r="B140" s="5"/>
    </row>
    <row r="143" spans="2:14" x14ac:dyDescent="0.25">
      <c r="B143" s="187" t="s">
        <v>178</v>
      </c>
      <c r="C143" s="187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</row>
    <row r="144" spans="2:14" x14ac:dyDescent="0.25">
      <c r="B144" s="187"/>
      <c r="C144" s="187"/>
    </row>
    <row r="145" spans="2:14" x14ac:dyDescent="0.25">
      <c r="B145" s="187"/>
      <c r="C145" s="187"/>
    </row>
    <row r="146" spans="2:14" x14ac:dyDescent="0.25">
      <c r="B146" s="187"/>
      <c r="C146" s="187"/>
    </row>
    <row r="147" spans="2:14" ht="24.75" x14ac:dyDescent="0.25">
      <c r="B147" s="94" t="s">
        <v>173</v>
      </c>
      <c r="C147" s="9" t="s">
        <v>174</v>
      </c>
      <c r="D147" s="9"/>
      <c r="E147" s="9"/>
      <c r="F147" s="9" t="s">
        <v>175</v>
      </c>
      <c r="G147" s="9"/>
      <c r="H147" s="9"/>
      <c r="I147" s="9" t="s">
        <v>176</v>
      </c>
      <c r="J147" s="9"/>
      <c r="K147" s="9"/>
      <c r="L147" s="9" t="s">
        <v>177</v>
      </c>
      <c r="M147" s="9"/>
      <c r="N147" s="9"/>
    </row>
    <row r="148" spans="2:14" x14ac:dyDescent="0.25">
      <c r="B148" s="5">
        <v>40</v>
      </c>
      <c r="C148" s="2">
        <f>($K$42*(B148*21))*1.154</f>
        <v>4672.5886206642444</v>
      </c>
      <c r="F148" s="2">
        <f>(C148+$K$65)*0.05</f>
        <v>1190.4766799433455</v>
      </c>
      <c r="I148" s="2">
        <f>(C148+$K$65+F148)*6%</f>
        <v>1500.0006167286153</v>
      </c>
      <c r="L148" s="31">
        <f>(C148+$K$65+F148+I148)*14.25%</f>
        <v>3776.2515526142888</v>
      </c>
      <c r="M148" s="9"/>
      <c r="N148" s="9"/>
    </row>
    <row r="149" spans="2:14" x14ac:dyDescent="0.25">
      <c r="B149" s="5">
        <v>50</v>
      </c>
      <c r="C149" s="2">
        <f t="shared" ref="C149:C160" si="4">($K$42*(B149*21))*1.154</f>
        <v>5840.735775830306</v>
      </c>
      <c r="F149" s="2">
        <f t="shared" ref="F149:F160" si="5">(C149+$K$65)*0.05</f>
        <v>1248.8840377016486</v>
      </c>
      <c r="I149" s="2">
        <f t="shared" ref="I149:I160" si="6">(C149+$K$65+F149)*6%</f>
        <v>1573.593887504077</v>
      </c>
      <c r="L149" s="31">
        <f t="shared" ref="L149:L160" si="7">(C149+$K$65+F149+I149)*14.25%</f>
        <v>3961.5226117915136</v>
      </c>
      <c r="M149" s="9"/>
      <c r="N149" s="9"/>
    </row>
    <row r="150" spans="2:14" x14ac:dyDescent="0.25">
      <c r="B150" s="5">
        <v>60</v>
      </c>
      <c r="C150" s="2">
        <f t="shared" si="4"/>
        <v>7008.8829309963667</v>
      </c>
      <c r="F150" s="2">
        <f t="shared" si="5"/>
        <v>1307.2913954599517</v>
      </c>
      <c r="I150" s="2">
        <f t="shared" si="6"/>
        <v>1647.1871582795388</v>
      </c>
      <c r="L150" s="31">
        <f t="shared" si="7"/>
        <v>4146.7936709687392</v>
      </c>
      <c r="M150" s="9"/>
      <c r="N150" s="9"/>
    </row>
    <row r="151" spans="2:14" x14ac:dyDescent="0.25">
      <c r="B151" s="5">
        <v>70</v>
      </c>
      <c r="C151" s="2">
        <f t="shared" si="4"/>
        <v>8177.0300861624282</v>
      </c>
      <c r="F151" s="2">
        <f t="shared" si="5"/>
        <v>1365.6987532182548</v>
      </c>
      <c r="I151" s="2">
        <f t="shared" si="6"/>
        <v>1720.7804290550007</v>
      </c>
      <c r="L151" s="31">
        <f t="shared" si="7"/>
        <v>4332.0647301459639</v>
      </c>
      <c r="M151" s="9"/>
      <c r="N151" s="9"/>
    </row>
    <row r="152" spans="2:14" x14ac:dyDescent="0.25">
      <c r="B152" s="5">
        <v>80</v>
      </c>
      <c r="C152" s="2">
        <f t="shared" si="4"/>
        <v>9345.1772413284889</v>
      </c>
      <c r="F152" s="2">
        <f t="shared" si="5"/>
        <v>1424.1061109765578</v>
      </c>
      <c r="I152" s="2">
        <f t="shared" si="6"/>
        <v>1794.3736998304626</v>
      </c>
      <c r="L152" s="31">
        <f t="shared" si="7"/>
        <v>4517.3357893231896</v>
      </c>
      <c r="M152" s="9"/>
      <c r="N152" s="9"/>
    </row>
    <row r="153" spans="2:14" x14ac:dyDescent="0.25">
      <c r="B153" s="5">
        <v>90</v>
      </c>
      <c r="C153" s="2">
        <f t="shared" si="4"/>
        <v>10513.32439649455</v>
      </c>
      <c r="F153" s="2">
        <f t="shared" si="5"/>
        <v>1482.5134687348609</v>
      </c>
      <c r="I153" s="2">
        <f t="shared" si="6"/>
        <v>1867.9669706059244</v>
      </c>
      <c r="L153" s="31">
        <f t="shared" si="7"/>
        <v>4702.6068485004143</v>
      </c>
      <c r="M153" s="9"/>
      <c r="N153" s="9"/>
    </row>
    <row r="154" spans="2:14" x14ac:dyDescent="0.25">
      <c r="B154" s="5">
        <v>100</v>
      </c>
      <c r="C154" s="2">
        <f t="shared" si="4"/>
        <v>11681.471551660612</v>
      </c>
      <c r="F154" s="2">
        <f t="shared" si="5"/>
        <v>1540.920826493164</v>
      </c>
      <c r="I154" s="2">
        <f t="shared" si="6"/>
        <v>1941.5602413813863</v>
      </c>
      <c r="L154" s="31">
        <f t="shared" si="7"/>
        <v>4887.8779076776391</v>
      </c>
      <c r="M154" s="9"/>
      <c r="N154" s="9"/>
    </row>
    <row r="155" spans="2:14" x14ac:dyDescent="0.25">
      <c r="B155" s="5">
        <v>110</v>
      </c>
      <c r="C155" s="2">
        <f t="shared" si="4"/>
        <v>12849.618706826674</v>
      </c>
      <c r="F155" s="2">
        <f t="shared" si="5"/>
        <v>1599.3281842514671</v>
      </c>
      <c r="I155" s="2">
        <f t="shared" si="6"/>
        <v>2015.1535121568484</v>
      </c>
      <c r="L155" s="31">
        <f t="shared" si="7"/>
        <v>5073.1489668548647</v>
      </c>
      <c r="M155" s="9"/>
      <c r="N155" s="9"/>
    </row>
    <row r="156" spans="2:14" x14ac:dyDescent="0.25">
      <c r="B156" s="5">
        <v>120</v>
      </c>
      <c r="C156" s="2">
        <f t="shared" si="4"/>
        <v>14017.765861992733</v>
      </c>
      <c r="F156" s="2">
        <f t="shared" si="5"/>
        <v>1657.7355420097699</v>
      </c>
      <c r="I156" s="2">
        <f t="shared" si="6"/>
        <v>2088.7467829323095</v>
      </c>
      <c r="L156" s="31">
        <f t="shared" si="7"/>
        <v>5258.4200260320886</v>
      </c>
      <c r="M156" s="9"/>
      <c r="N156" s="9"/>
    </row>
    <row r="157" spans="2:14" x14ac:dyDescent="0.25">
      <c r="B157" s="5">
        <v>130</v>
      </c>
      <c r="C157" s="2">
        <f t="shared" si="4"/>
        <v>15185.913017158795</v>
      </c>
      <c r="F157" s="2">
        <f t="shared" si="5"/>
        <v>1716.1428997680732</v>
      </c>
      <c r="I157" s="2">
        <f t="shared" si="6"/>
        <v>2162.3400537077719</v>
      </c>
      <c r="L157" s="31">
        <f t="shared" si="7"/>
        <v>5443.6910852093151</v>
      </c>
      <c r="M157" s="9"/>
      <c r="N157" s="9"/>
    </row>
    <row r="158" spans="2:14" x14ac:dyDescent="0.25">
      <c r="B158" s="5">
        <v>140</v>
      </c>
      <c r="C158" s="2">
        <f t="shared" si="4"/>
        <v>16354.060172324856</v>
      </c>
      <c r="F158" s="2">
        <f t="shared" si="5"/>
        <v>1774.5502575263761</v>
      </c>
      <c r="I158" s="2">
        <f t="shared" si="6"/>
        <v>2235.9333244832337</v>
      </c>
      <c r="L158" s="31">
        <f t="shared" si="7"/>
        <v>5628.9621443865399</v>
      </c>
      <c r="M158" s="9"/>
      <c r="N158" s="9"/>
    </row>
    <row r="159" spans="2:14" x14ac:dyDescent="0.25">
      <c r="B159" s="5">
        <v>150</v>
      </c>
      <c r="C159" s="2">
        <f t="shared" si="4"/>
        <v>17522.207327490916</v>
      </c>
      <c r="F159" s="2">
        <f t="shared" si="5"/>
        <v>1832.9576152846794</v>
      </c>
      <c r="I159" s="2">
        <f t="shared" si="6"/>
        <v>2309.5265952586956</v>
      </c>
      <c r="L159" s="31">
        <f t="shared" si="7"/>
        <v>5814.2332035637655</v>
      </c>
      <c r="M159" s="9"/>
      <c r="N159" s="9"/>
    </row>
    <row r="160" spans="2:14" x14ac:dyDescent="0.25">
      <c r="B160" s="5">
        <v>160</v>
      </c>
      <c r="C160" s="2">
        <f t="shared" si="4"/>
        <v>18690.354482656978</v>
      </c>
      <c r="F160" s="2">
        <f t="shared" si="5"/>
        <v>1891.3649730429822</v>
      </c>
      <c r="I160" s="2">
        <f t="shared" si="6"/>
        <v>2383.1198660341574</v>
      </c>
      <c r="L160" s="31">
        <f t="shared" si="7"/>
        <v>5999.5042627409903</v>
      </c>
      <c r="M160" s="9"/>
      <c r="N160" s="9"/>
    </row>
  </sheetData>
  <mergeCells count="121">
    <mergeCell ref="A11:F11"/>
    <mergeCell ref="K11:N11"/>
    <mergeCell ref="A12:C12"/>
    <mergeCell ref="E12:F12"/>
    <mergeCell ref="K12:N12"/>
    <mergeCell ref="A13:D13"/>
    <mergeCell ref="E13:F13"/>
    <mergeCell ref="K13:N13"/>
    <mergeCell ref="C2:F6"/>
    <mergeCell ref="H3:P5"/>
    <mergeCell ref="F7:H7"/>
    <mergeCell ref="K7:N7"/>
    <mergeCell ref="B8:C8"/>
    <mergeCell ref="I9:P9"/>
    <mergeCell ref="A9:F9"/>
    <mergeCell ref="O16:O17"/>
    <mergeCell ref="P16:P17"/>
    <mergeCell ref="T17:V17"/>
    <mergeCell ref="A14:D14"/>
    <mergeCell ref="E14:F14"/>
    <mergeCell ref="K14:N15"/>
    <mergeCell ref="O14:O15"/>
    <mergeCell ref="P14:P15"/>
    <mergeCell ref="E15:F15"/>
    <mergeCell ref="K18:N18"/>
    <mergeCell ref="A19:F19"/>
    <mergeCell ref="A20:F20"/>
    <mergeCell ref="A23:F23"/>
    <mergeCell ref="A24:D24"/>
    <mergeCell ref="E24:F24"/>
    <mergeCell ref="A16:D16"/>
    <mergeCell ref="E16:F16"/>
    <mergeCell ref="K16:N17"/>
    <mergeCell ref="H20:N21"/>
    <mergeCell ref="A28:D28"/>
    <mergeCell ref="E28:F28"/>
    <mergeCell ref="A31:F31"/>
    <mergeCell ref="A32:D32"/>
    <mergeCell ref="E32:F32"/>
    <mergeCell ref="A33:D33"/>
    <mergeCell ref="A25:D25"/>
    <mergeCell ref="E25:F25"/>
    <mergeCell ref="A26:D26"/>
    <mergeCell ref="E26:F26"/>
    <mergeCell ref="A27:D27"/>
    <mergeCell ref="E27:F27"/>
    <mergeCell ref="B41:D41"/>
    <mergeCell ref="F41:H41"/>
    <mergeCell ref="A42:E42"/>
    <mergeCell ref="A43:J43"/>
    <mergeCell ref="A45:J45"/>
    <mergeCell ref="A47:J47"/>
    <mergeCell ref="A36:E36"/>
    <mergeCell ref="B37:D37"/>
    <mergeCell ref="E37:F37"/>
    <mergeCell ref="B38:D38"/>
    <mergeCell ref="B39:D39"/>
    <mergeCell ref="B40:D40"/>
    <mergeCell ref="C54:F54"/>
    <mergeCell ref="C55:F55"/>
    <mergeCell ref="C58:F58"/>
    <mergeCell ref="C60:G60"/>
    <mergeCell ref="C62:E62"/>
    <mergeCell ref="C63:F63"/>
    <mergeCell ref="A49:E49"/>
    <mergeCell ref="H50:I50"/>
    <mergeCell ref="C51:F51"/>
    <mergeCell ref="H51:I51"/>
    <mergeCell ref="C52:F52"/>
    <mergeCell ref="C53:F53"/>
    <mergeCell ref="A74:E74"/>
    <mergeCell ref="A75:F75"/>
    <mergeCell ref="I75:J75"/>
    <mergeCell ref="I76:J76"/>
    <mergeCell ref="I77:J77"/>
    <mergeCell ref="I78:J78"/>
    <mergeCell ref="A65:J65"/>
    <mergeCell ref="A67:I67"/>
    <mergeCell ref="A69:E69"/>
    <mergeCell ref="I69:J69"/>
    <mergeCell ref="C70:F70"/>
    <mergeCell ref="C71:F71"/>
    <mergeCell ref="D95:E95"/>
    <mergeCell ref="B97:C97"/>
    <mergeCell ref="F97:G97"/>
    <mergeCell ref="F98:G98"/>
    <mergeCell ref="B100:D100"/>
    <mergeCell ref="F100:G100"/>
    <mergeCell ref="A79:J79"/>
    <mergeCell ref="A82:I82"/>
    <mergeCell ref="A84:H84"/>
    <mergeCell ref="A85:J85"/>
    <mergeCell ref="A89:J89"/>
    <mergeCell ref="A90:J90"/>
    <mergeCell ref="L109:M109"/>
    <mergeCell ref="P109:Q109"/>
    <mergeCell ref="F110:G110"/>
    <mergeCell ref="P110:Q110"/>
    <mergeCell ref="B112:D112"/>
    <mergeCell ref="F112:G112"/>
    <mergeCell ref="L112:N112"/>
    <mergeCell ref="P112:Q112"/>
    <mergeCell ref="B101:D101"/>
    <mergeCell ref="B102:D102"/>
    <mergeCell ref="B103:C103"/>
    <mergeCell ref="B104:D104"/>
    <mergeCell ref="F104:G104"/>
    <mergeCell ref="B109:C109"/>
    <mergeCell ref="F109:G109"/>
    <mergeCell ref="B116:D116"/>
    <mergeCell ref="F116:G116"/>
    <mergeCell ref="L116:N116"/>
    <mergeCell ref="P116:Q116"/>
    <mergeCell ref="B122:C125"/>
    <mergeCell ref="B143:C146"/>
    <mergeCell ref="B113:D113"/>
    <mergeCell ref="L113:N113"/>
    <mergeCell ref="B114:D114"/>
    <mergeCell ref="L114:N114"/>
    <mergeCell ref="B115:C115"/>
    <mergeCell ref="L115:M115"/>
  </mergeCells>
  <conditionalFormatting sqref="P19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{3931F4FB-1484-403D-8638-A71DA17EC7E3}</x14:id>
        </ext>
      </extLst>
    </cfRule>
  </conditionalFormatting>
  <dataValidations count="3">
    <dataValidation type="list" allowBlank="1" showInputMessage="1" showErrorMessage="1" sqref="E15:F15">
      <formula1>"0,1,2,3,4,5,6,7,8,9,10,11,12,13,14,15"</formula1>
    </dataValidation>
    <dataValidation type="list" allowBlank="1" showInputMessage="1" showErrorMessage="1" sqref="L51">
      <formula1>"LINEAR, MÉTODO COLE"</formula1>
    </dataValidation>
    <dataValidation type="list" allowBlank="1" showInputMessage="1" showErrorMessage="1" sqref="F7:H7 T17:V17">
      <formula1>$Q$119:$Q$122</formula1>
    </dataValidation>
  </dataValidations>
  <pageMargins left="0.51181102362204722" right="0.51181102362204722" top="0.78740157480314965" bottom="0.78740157480314965" header="0.31496062992125984" footer="0.31496062992125984"/>
  <pageSetup paperSize="9" scale="50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3931F4FB-1484-403D-8638-A71DA17EC7E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P19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3">
    <tabColor rgb="FF0070C0"/>
  </sheetPr>
  <dimension ref="A2:V160"/>
  <sheetViews>
    <sheetView tabSelected="1" view="pageBreakPreview" topLeftCell="A51" zoomScale="85" zoomScaleNormal="100" zoomScaleSheetLayoutView="85" workbookViewId="0">
      <selection activeCell="A57" sqref="A57"/>
    </sheetView>
  </sheetViews>
  <sheetFormatPr defaultColWidth="8.85546875" defaultRowHeight="15" x14ac:dyDescent="0.25"/>
  <cols>
    <col min="2" max="2" width="14.140625" customWidth="1"/>
    <col min="3" max="3" width="15.28515625" customWidth="1"/>
    <col min="5" max="5" width="12.42578125" customWidth="1"/>
    <col min="6" max="6" width="13.5703125" customWidth="1"/>
    <col min="7" max="7" width="12.140625" customWidth="1"/>
    <col min="9" max="9" width="10.7109375" customWidth="1"/>
    <col min="10" max="10" width="12.140625" bestFit="1" customWidth="1"/>
    <col min="11" max="11" width="16.42578125" bestFit="1" customWidth="1"/>
    <col min="12" max="12" width="14.42578125" customWidth="1"/>
    <col min="14" max="14" width="6.42578125" customWidth="1"/>
    <col min="15" max="15" width="9" customWidth="1"/>
    <col min="16" max="16" width="10.42578125" customWidth="1"/>
    <col min="17" max="17" width="15.140625" customWidth="1"/>
    <col min="18" max="18" width="14.7109375" bestFit="1" customWidth="1"/>
    <col min="19" max="19" width="19.42578125" bestFit="1" customWidth="1"/>
  </cols>
  <sheetData>
    <row r="2" spans="1:19" x14ac:dyDescent="0.25">
      <c r="C2" s="239" t="s">
        <v>151</v>
      </c>
      <c r="D2" s="240"/>
      <c r="E2" s="240"/>
      <c r="F2" s="240"/>
    </row>
    <row r="3" spans="1:19" x14ac:dyDescent="0.25">
      <c r="C3" s="240"/>
      <c r="D3" s="240"/>
      <c r="E3" s="240"/>
      <c r="F3" s="240"/>
      <c r="H3" s="241" t="s">
        <v>64</v>
      </c>
      <c r="I3" s="239"/>
      <c r="J3" s="239"/>
      <c r="K3" s="239"/>
      <c r="L3" s="239"/>
      <c r="M3" s="239"/>
      <c r="N3" s="239"/>
      <c r="O3" s="239"/>
      <c r="P3" s="239"/>
    </row>
    <row r="4" spans="1:19" x14ac:dyDescent="0.25">
      <c r="C4" s="240"/>
      <c r="D4" s="240"/>
      <c r="E4" s="240"/>
      <c r="F4" s="240"/>
      <c r="H4" s="239"/>
      <c r="I4" s="239"/>
      <c r="J4" s="239"/>
      <c r="K4" s="239"/>
      <c r="L4" s="239"/>
      <c r="M4" s="239"/>
      <c r="N4" s="239"/>
      <c r="O4" s="239"/>
      <c r="P4" s="239"/>
    </row>
    <row r="5" spans="1:19" x14ac:dyDescent="0.25">
      <c r="C5" s="240"/>
      <c r="D5" s="240"/>
      <c r="E5" s="240"/>
      <c r="F5" s="240"/>
      <c r="H5" s="239"/>
      <c r="I5" s="239"/>
      <c r="J5" s="239"/>
      <c r="K5" s="239"/>
      <c r="L5" s="239"/>
      <c r="M5" s="239"/>
      <c r="N5" s="239"/>
      <c r="O5" s="239"/>
      <c r="P5" s="239"/>
    </row>
    <row r="6" spans="1:19" x14ac:dyDescent="0.25">
      <c r="C6" s="240"/>
      <c r="D6" s="240"/>
      <c r="E6" s="240"/>
      <c r="F6" s="240"/>
    </row>
    <row r="7" spans="1:19" ht="21" x14ac:dyDescent="0.35">
      <c r="E7" s="18" t="s">
        <v>80</v>
      </c>
      <c r="F7" s="235" t="s">
        <v>65</v>
      </c>
      <c r="G7" s="235"/>
      <c r="H7" s="235"/>
      <c r="K7" s="242" t="s">
        <v>286</v>
      </c>
      <c r="L7" s="243"/>
      <c r="M7" s="243"/>
      <c r="N7" s="243"/>
    </row>
    <row r="8" spans="1:19" ht="15.75" x14ac:dyDescent="0.25">
      <c r="B8" s="194"/>
      <c r="C8" s="194"/>
      <c r="D8" s="8"/>
      <c r="E8" s="8"/>
      <c r="F8" s="8"/>
      <c r="J8" s="9"/>
    </row>
    <row r="9" spans="1:19" ht="21" x14ac:dyDescent="0.35">
      <c r="A9" s="235" t="s">
        <v>352</v>
      </c>
      <c r="B9" s="235"/>
      <c r="C9" s="235"/>
      <c r="D9" s="235"/>
      <c r="E9" s="235"/>
      <c r="F9" s="235"/>
      <c r="I9" s="244" t="s">
        <v>157</v>
      </c>
      <c r="J9" s="244"/>
      <c r="K9" s="244"/>
      <c r="L9" s="244"/>
      <c r="M9" s="244"/>
      <c r="N9" s="244"/>
      <c r="O9" s="244"/>
      <c r="P9" s="244"/>
      <c r="R9" s="9" t="s">
        <v>155</v>
      </c>
      <c r="S9" s="9" t="s">
        <v>156</v>
      </c>
    </row>
    <row r="10" spans="1:19" x14ac:dyDescent="0.25">
      <c r="R10" s="2">
        <f>K43</f>
        <v>3299.9651003824611</v>
      </c>
      <c r="S10" s="43">
        <f>K45</f>
        <v>3263.4427872469396</v>
      </c>
    </row>
    <row r="11" spans="1:19" ht="17.25" x14ac:dyDescent="0.3">
      <c r="A11" s="236" t="s">
        <v>150</v>
      </c>
      <c r="B11" s="237"/>
      <c r="C11" s="237"/>
      <c r="D11" s="237"/>
      <c r="E11" s="237"/>
      <c r="F11" s="238"/>
      <c r="G11" s="40" t="s">
        <v>0</v>
      </c>
      <c r="K11" s="206" t="s">
        <v>15</v>
      </c>
      <c r="L11" s="206"/>
      <c r="M11" s="206"/>
      <c r="N11" s="206"/>
      <c r="O11" s="161">
        <f>O12+O13</f>
        <v>60.6</v>
      </c>
      <c r="P11" s="47" t="s">
        <v>14</v>
      </c>
      <c r="R11" s="130">
        <f>K65/O18*O14</f>
        <v>10294.792182993515</v>
      </c>
      <c r="S11" s="130">
        <f>K65/O18*O16</f>
        <v>8842.1527952091528</v>
      </c>
    </row>
    <row r="12" spans="1:19" ht="15.75" x14ac:dyDescent="0.25">
      <c r="A12" s="214" t="s">
        <v>107</v>
      </c>
      <c r="B12" s="215"/>
      <c r="C12" s="215"/>
      <c r="D12" s="48"/>
      <c r="E12" s="218">
        <f>Insumos!$B$4</f>
        <v>531068.38</v>
      </c>
      <c r="F12" s="218"/>
      <c r="G12" s="1"/>
      <c r="K12" s="206" t="s">
        <v>136</v>
      </c>
      <c r="L12" s="206"/>
      <c r="M12" s="206"/>
      <c r="N12" s="206"/>
      <c r="O12" s="150">
        <v>32.6</v>
      </c>
      <c r="P12" s="47" t="s">
        <v>14</v>
      </c>
      <c r="R12" s="2">
        <f>K72/O18*O14</f>
        <v>935.49555854497271</v>
      </c>
      <c r="S12" s="2">
        <f>K72/O18*O16</f>
        <v>803.49311776868819</v>
      </c>
    </row>
    <row r="13" spans="1:19" ht="15.75" x14ac:dyDescent="0.25">
      <c r="A13" s="214" t="s">
        <v>285</v>
      </c>
      <c r="B13" s="215"/>
      <c r="C13" s="215"/>
      <c r="D13" s="216"/>
      <c r="E13" s="198">
        <f>'DEPRECIAÇÃO LINEAR'!D15</f>
        <v>10</v>
      </c>
      <c r="F13" s="198"/>
      <c r="K13" s="206" t="s">
        <v>137</v>
      </c>
      <c r="L13" s="206"/>
      <c r="M13" s="206"/>
      <c r="N13" s="206"/>
      <c r="O13" s="150">
        <v>28</v>
      </c>
      <c r="P13" s="47" t="s">
        <v>14</v>
      </c>
      <c r="R13" s="2">
        <f>K79/O18*O14</f>
        <v>1397.7394313514505</v>
      </c>
      <c r="S13" s="2">
        <f>K79/O18*O16</f>
        <v>1200.5123950257857</v>
      </c>
    </row>
    <row r="14" spans="1:19" ht="15" customHeight="1" x14ac:dyDescent="0.25">
      <c r="A14" s="214" t="s">
        <v>23</v>
      </c>
      <c r="B14" s="215"/>
      <c r="C14" s="215"/>
      <c r="D14" s="216"/>
      <c r="E14" s="219">
        <v>2026</v>
      </c>
      <c r="F14" s="220"/>
      <c r="K14" s="223" t="s">
        <v>138</v>
      </c>
      <c r="L14" s="223"/>
      <c r="M14" s="223"/>
      <c r="N14" s="223"/>
      <c r="O14" s="232">
        <f>O12*21</f>
        <v>684.6</v>
      </c>
      <c r="P14" s="234" t="s">
        <v>14</v>
      </c>
      <c r="R14" s="2">
        <f>SUM(R10:R13)</f>
        <v>15927.992273272401</v>
      </c>
      <c r="S14" s="2">
        <f>SUM(S10:S13)</f>
        <v>14109.601095250566</v>
      </c>
    </row>
    <row r="15" spans="1:19" ht="15.75" customHeight="1" x14ac:dyDescent="0.25">
      <c r="A15" s="49" t="s">
        <v>79</v>
      </c>
      <c r="B15" s="48"/>
      <c r="C15" s="48"/>
      <c r="D15" s="48"/>
      <c r="E15" s="198">
        <v>0</v>
      </c>
      <c r="F15" s="198"/>
      <c r="G15" s="41" t="s">
        <v>128</v>
      </c>
      <c r="I15" s="28"/>
      <c r="J15" s="28"/>
      <c r="K15" s="223"/>
      <c r="L15" s="223"/>
      <c r="M15" s="223"/>
      <c r="N15" s="223"/>
      <c r="O15" s="233"/>
      <c r="P15" s="234"/>
      <c r="R15" s="31">
        <f>IFERROR(R14/O14,0)</f>
        <v>23.266129525668127</v>
      </c>
      <c r="S15" s="31">
        <f>IFERROR(S14/O16,0)</f>
        <v>23.995920230017969</v>
      </c>
    </row>
    <row r="16" spans="1:19" ht="15" customHeight="1" x14ac:dyDescent="0.25">
      <c r="A16" s="214" t="s">
        <v>84</v>
      </c>
      <c r="B16" s="215"/>
      <c r="C16" s="215"/>
      <c r="D16" s="215"/>
      <c r="E16" s="198" t="str">
        <f>IF($F$7=$D$95,F104,IF($F$7=$D$107,F116,IF($F$7=$N$95,Q104,IF($F$7=$O$107,P116,""))))</f>
        <v>ATÉ 59 ALUNOS</v>
      </c>
      <c r="F16" s="198"/>
      <c r="I16" s="28"/>
      <c r="J16" s="28"/>
      <c r="K16" s="223" t="s">
        <v>139</v>
      </c>
      <c r="L16" s="223"/>
      <c r="M16" s="223"/>
      <c r="N16" s="223"/>
      <c r="O16" s="232">
        <f>O13*21</f>
        <v>588</v>
      </c>
      <c r="P16" s="234" t="s">
        <v>14</v>
      </c>
    </row>
    <row r="17" spans="1:22" ht="15" customHeight="1" x14ac:dyDescent="0.35">
      <c r="I17" s="28"/>
      <c r="J17" s="28"/>
      <c r="K17" s="223"/>
      <c r="L17" s="223"/>
      <c r="M17" s="223"/>
      <c r="N17" s="223"/>
      <c r="O17" s="233"/>
      <c r="P17" s="234"/>
      <c r="R17" s="2">
        <f>R14+S14</f>
        <v>30037.593368522968</v>
      </c>
      <c r="T17" s="235"/>
      <c r="U17" s="235"/>
      <c r="V17" s="235"/>
    </row>
    <row r="18" spans="1:22" ht="15" customHeight="1" x14ac:dyDescent="0.25">
      <c r="I18" s="28"/>
      <c r="J18" s="28"/>
      <c r="K18" s="223" t="s">
        <v>140</v>
      </c>
      <c r="L18" s="223"/>
      <c r="M18" s="223"/>
      <c r="N18" s="223"/>
      <c r="O18" s="46">
        <f>O16+O14</f>
        <v>1272.5999999999999</v>
      </c>
      <c r="P18" s="47" t="s">
        <v>14</v>
      </c>
      <c r="R18" s="2">
        <f>R17/O18</f>
        <v>23.60332655078027</v>
      </c>
    </row>
    <row r="19" spans="1:22" ht="15.75" customHeight="1" x14ac:dyDescent="0.3">
      <c r="A19" s="224" t="s">
        <v>1</v>
      </c>
      <c r="B19" s="225"/>
      <c r="C19" s="225"/>
      <c r="D19" s="225"/>
      <c r="E19" s="225"/>
      <c r="F19" s="225"/>
      <c r="I19" s="29"/>
      <c r="J19" s="29"/>
      <c r="K19" s="29"/>
      <c r="L19" s="29"/>
      <c r="M19" s="29"/>
    </row>
    <row r="20" spans="1:22" ht="15" customHeight="1" thickBot="1" x14ac:dyDescent="0.3">
      <c r="A20" s="206" t="s">
        <v>106</v>
      </c>
      <c r="B20" s="206"/>
      <c r="C20" s="206"/>
      <c r="D20" s="206"/>
      <c r="E20" s="206"/>
      <c r="F20" s="206"/>
      <c r="I20" s="28"/>
      <c r="J20" s="28"/>
      <c r="K20" s="28"/>
      <c r="L20" s="28"/>
      <c r="M20" s="28"/>
      <c r="O20" s="93">
        <f>K90</f>
        <v>23.603326550780263</v>
      </c>
      <c r="R20" s="93">
        <f>K90</f>
        <v>23.603326550780263</v>
      </c>
    </row>
    <row r="21" spans="1:22" x14ac:dyDescent="0.25">
      <c r="H21" s="245" t="s">
        <v>295</v>
      </c>
      <c r="I21" s="246"/>
      <c r="J21" s="246"/>
      <c r="K21" s="246"/>
      <c r="L21" s="246"/>
      <c r="M21" s="246"/>
      <c r="N21" s="247"/>
      <c r="O21" s="2"/>
    </row>
    <row r="22" spans="1:22" ht="15.75" thickBot="1" x14ac:dyDescent="0.3">
      <c r="H22" s="248"/>
      <c r="I22" s="249"/>
      <c r="J22" s="249"/>
      <c r="K22" s="249"/>
      <c r="L22" s="249"/>
      <c r="M22" s="249"/>
      <c r="N22" s="250"/>
    </row>
    <row r="23" spans="1:22" ht="17.25" x14ac:dyDescent="0.3">
      <c r="A23" s="224" t="s">
        <v>2</v>
      </c>
      <c r="B23" s="225"/>
      <c r="C23" s="225"/>
      <c r="D23" s="225"/>
      <c r="E23" s="225"/>
      <c r="F23" s="225"/>
      <c r="L23" s="2"/>
    </row>
    <row r="24" spans="1:22" ht="15.75" x14ac:dyDescent="0.25">
      <c r="A24" s="214" t="s">
        <v>11</v>
      </c>
      <c r="B24" s="215"/>
      <c r="C24" s="215"/>
      <c r="D24" s="215"/>
      <c r="E24" s="198">
        <f>IF($F$7=$D$95,F100,IF($F$7=$D$107,F112,IF($F$7=$N$95,Q100,IF($F$7=$O$107,P112,""))))</f>
        <v>6</v>
      </c>
      <c r="F24" s="198"/>
    </row>
    <row r="25" spans="1:22" ht="15.75" x14ac:dyDescent="0.25">
      <c r="A25" s="214" t="s">
        <v>9</v>
      </c>
      <c r="B25" s="215"/>
      <c r="C25" s="215"/>
      <c r="D25" s="216"/>
      <c r="E25" s="218">
        <f>Insumos!$B$5</f>
        <v>2453.2399999999998</v>
      </c>
      <c r="F25" s="218"/>
    </row>
    <row r="26" spans="1:22" ht="15.75" x14ac:dyDescent="0.25">
      <c r="A26" s="214" t="s">
        <v>147</v>
      </c>
      <c r="B26" s="215"/>
      <c r="C26" s="215"/>
      <c r="D26" s="216"/>
      <c r="E26" s="219">
        <v>2</v>
      </c>
      <c r="F26" s="220"/>
    </row>
    <row r="27" spans="1:22" ht="15.75" x14ac:dyDescent="0.25">
      <c r="A27" s="214" t="s">
        <v>148</v>
      </c>
      <c r="B27" s="215"/>
      <c r="C27" s="215"/>
      <c r="D27" s="216"/>
      <c r="E27" s="221">
        <f>Insumos!$B$6</f>
        <v>975.83</v>
      </c>
      <c r="F27" s="222"/>
    </row>
    <row r="28" spans="1:22" ht="15.75" x14ac:dyDescent="0.25">
      <c r="A28" s="214" t="s">
        <v>149</v>
      </c>
      <c r="B28" s="215"/>
      <c r="C28" s="215"/>
      <c r="D28" s="216"/>
      <c r="E28" s="217">
        <v>100000</v>
      </c>
      <c r="F28" s="217"/>
    </row>
    <row r="31" spans="1:22" ht="15.75" x14ac:dyDescent="0.25">
      <c r="A31" s="191" t="s">
        <v>3</v>
      </c>
      <c r="B31" s="192"/>
      <c r="C31" s="192"/>
      <c r="D31" s="192"/>
      <c r="E31" s="192"/>
      <c r="F31" s="192"/>
    </row>
    <row r="32" spans="1:22" ht="15.75" x14ac:dyDescent="0.25">
      <c r="A32" s="214" t="s">
        <v>19</v>
      </c>
      <c r="B32" s="215"/>
      <c r="C32" s="215"/>
      <c r="D32" s="216"/>
      <c r="E32" s="218">
        <f>Insumos!$B$7</f>
        <v>7.6</v>
      </c>
      <c r="F32" s="218"/>
    </row>
    <row r="33" spans="1:14" ht="15.75" x14ac:dyDescent="0.25">
      <c r="A33" s="214" t="s">
        <v>17</v>
      </c>
      <c r="B33" s="215"/>
      <c r="C33" s="215"/>
      <c r="D33" s="216"/>
      <c r="E33" s="46">
        <f>IF($F$7=$D$95,G103,IF($F$7=$D$107,G115,IF($F$7=$N$95,Q103,IF($F$7=$O$107,Q115,""))))</f>
        <v>2.6</v>
      </c>
      <c r="F33" s="50" t="s">
        <v>18</v>
      </c>
    </row>
    <row r="36" spans="1:14" ht="17.25" x14ac:dyDescent="0.3">
      <c r="A36" s="208" t="s">
        <v>20</v>
      </c>
      <c r="B36" s="209"/>
      <c r="C36" s="209"/>
      <c r="D36" s="209"/>
      <c r="E36" s="209"/>
    </row>
    <row r="37" spans="1:14" x14ac:dyDescent="0.25">
      <c r="B37" s="210"/>
      <c r="C37" s="210"/>
      <c r="D37" s="211"/>
      <c r="E37" s="212" t="s">
        <v>4</v>
      </c>
      <c r="F37" s="213"/>
    </row>
    <row r="38" spans="1:14" ht="15.75" x14ac:dyDescent="0.25">
      <c r="A38" s="46" t="s">
        <v>346</v>
      </c>
      <c r="B38" s="214" t="s">
        <v>52</v>
      </c>
      <c r="C38" s="215"/>
      <c r="D38" s="216"/>
      <c r="E38" s="46">
        <f>1/E33</f>
        <v>0.38461538461538458</v>
      </c>
      <c r="F38" s="7" t="s">
        <v>5</v>
      </c>
      <c r="G38" s="7"/>
      <c r="H38" s="7"/>
      <c r="I38" s="7"/>
      <c r="J38" s="7"/>
      <c r="K38" s="58">
        <f>E32*E38</f>
        <v>2.9230769230769225</v>
      </c>
      <c r="L38" s="51" t="s">
        <v>13</v>
      </c>
      <c r="N38" s="2"/>
    </row>
    <row r="39" spans="1:14" ht="15.75" x14ac:dyDescent="0.25">
      <c r="A39" s="46" t="s">
        <v>6</v>
      </c>
      <c r="B39" s="206" t="s">
        <v>152</v>
      </c>
      <c r="C39" s="206"/>
      <c r="D39" s="206"/>
      <c r="E39" s="46">
        <v>0.04</v>
      </c>
      <c r="F39" s="7" t="s">
        <v>5</v>
      </c>
      <c r="G39" s="7"/>
      <c r="H39" s="7"/>
      <c r="I39" s="7"/>
      <c r="J39" s="7"/>
      <c r="K39" s="58">
        <f>E39*E32</f>
        <v>0.30399999999999999</v>
      </c>
      <c r="L39" s="51" t="s">
        <v>13</v>
      </c>
    </row>
    <row r="40" spans="1:14" ht="15.75" x14ac:dyDescent="0.25">
      <c r="A40" s="46" t="s">
        <v>7</v>
      </c>
      <c r="B40" s="206" t="s">
        <v>8</v>
      </c>
      <c r="C40" s="206"/>
      <c r="D40" s="206"/>
      <c r="E40" s="46"/>
      <c r="F40" s="7"/>
      <c r="G40" s="7"/>
      <c r="H40" s="7"/>
      <c r="I40" s="7"/>
      <c r="J40" s="7"/>
      <c r="K40" s="58">
        <f>((E25*E24)+(E26*E24*E27))/E28</f>
        <v>0.26429400000000003</v>
      </c>
      <c r="L40" s="51" t="s">
        <v>13</v>
      </c>
    </row>
    <row r="41" spans="1:14" ht="15.75" x14ac:dyDescent="0.25">
      <c r="A41" s="46" t="s">
        <v>12</v>
      </c>
      <c r="B41" s="206" t="s">
        <v>153</v>
      </c>
      <c r="C41" s="206"/>
      <c r="D41" s="206"/>
      <c r="E41" s="70">
        <v>3.0000000000000001E-6</v>
      </c>
      <c r="F41" s="193" t="s">
        <v>10</v>
      </c>
      <c r="G41" s="193"/>
      <c r="H41" s="193"/>
      <c r="I41" s="7"/>
      <c r="J41" s="7"/>
      <c r="K41" s="58">
        <f>(E41*E12)-(K40)</f>
        <v>1.32891114</v>
      </c>
      <c r="L41" s="51" t="s">
        <v>13</v>
      </c>
    </row>
    <row r="42" spans="1:14" ht="15.75" x14ac:dyDescent="0.25">
      <c r="A42" s="207"/>
      <c r="B42" s="207"/>
      <c r="C42" s="207"/>
      <c r="D42" s="207"/>
      <c r="E42" s="207"/>
      <c r="F42" s="7"/>
      <c r="G42" s="7"/>
      <c r="H42" s="7"/>
      <c r="I42" s="7"/>
      <c r="J42" s="7"/>
      <c r="K42" s="58">
        <f>SUM(K38:K41)</f>
        <v>4.8202820630769221</v>
      </c>
      <c r="L42" s="51" t="s">
        <v>13</v>
      </c>
    </row>
    <row r="43" spans="1:14" ht="21" customHeight="1" x14ac:dyDescent="0.25">
      <c r="A43" s="200" t="s">
        <v>144</v>
      </c>
      <c r="B43" s="200"/>
      <c r="C43" s="200"/>
      <c r="D43" s="200"/>
      <c r="E43" s="200"/>
      <c r="F43" s="200"/>
      <c r="G43" s="200"/>
      <c r="H43" s="200"/>
      <c r="I43" s="200"/>
      <c r="J43" s="200"/>
      <c r="K43" s="68">
        <f>K42*O14</f>
        <v>3299.9651003824611</v>
      </c>
      <c r="L43" s="52" t="s">
        <v>16</v>
      </c>
    </row>
    <row r="45" spans="1:14" ht="18.75" x14ac:dyDescent="0.3">
      <c r="A45" s="190" t="s">
        <v>145</v>
      </c>
      <c r="B45" s="190"/>
      <c r="C45" s="190"/>
      <c r="D45" s="190"/>
      <c r="E45" s="190"/>
      <c r="F45" s="190"/>
      <c r="G45" s="190"/>
      <c r="H45" s="190"/>
      <c r="I45" s="190"/>
      <c r="J45" s="190"/>
      <c r="K45" s="65">
        <f>K42*O16*1.1514</f>
        <v>3263.4427872469396</v>
      </c>
      <c r="L45" s="53" t="s">
        <v>16</v>
      </c>
    </row>
    <row r="46" spans="1:14" ht="15.75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</row>
    <row r="47" spans="1:14" ht="18.75" x14ac:dyDescent="0.3">
      <c r="A47" s="190" t="s">
        <v>146</v>
      </c>
      <c r="B47" s="190"/>
      <c r="C47" s="190"/>
      <c r="D47" s="190"/>
      <c r="E47" s="190"/>
      <c r="F47" s="190"/>
      <c r="G47" s="190"/>
      <c r="H47" s="190"/>
      <c r="I47" s="190"/>
      <c r="J47" s="190"/>
      <c r="K47" s="65">
        <f>K43+K45</f>
        <v>6563.4078876294006</v>
      </c>
      <c r="L47" s="54" t="s">
        <v>16</v>
      </c>
    </row>
    <row r="49" spans="1:12" ht="15.75" x14ac:dyDescent="0.25">
      <c r="A49" s="197" t="s">
        <v>21</v>
      </c>
      <c r="B49" s="204"/>
      <c r="C49" s="204"/>
      <c r="D49" s="204"/>
      <c r="E49" s="204"/>
      <c r="F49" s="7"/>
      <c r="G49" s="7"/>
      <c r="H49" s="7"/>
      <c r="I49" s="7"/>
      <c r="J49" s="7"/>
      <c r="K49" s="7"/>
      <c r="L49" s="7"/>
    </row>
    <row r="50" spans="1:12" ht="15.75" x14ac:dyDescent="0.25">
      <c r="A50" s="3"/>
      <c r="B50" s="45"/>
      <c r="C50" s="45"/>
      <c r="D50" s="45"/>
      <c r="E50" s="45"/>
      <c r="F50" s="7"/>
      <c r="G50" s="7"/>
      <c r="H50" s="205" t="s">
        <v>25</v>
      </c>
      <c r="I50" s="205"/>
      <c r="J50" s="7"/>
      <c r="K50" s="7"/>
      <c r="L50" s="7"/>
    </row>
    <row r="51" spans="1:12" ht="15.75" x14ac:dyDescent="0.25">
      <c r="A51" s="7" t="s">
        <v>22</v>
      </c>
      <c r="B51" s="7"/>
      <c r="C51" s="193" t="s">
        <v>24</v>
      </c>
      <c r="D51" s="193"/>
      <c r="E51" s="193"/>
      <c r="F51" s="193"/>
      <c r="G51" s="7"/>
      <c r="H51" s="195"/>
      <c r="I51" s="195"/>
      <c r="J51" s="58"/>
      <c r="K51" s="129">
        <f>IF(L51="LINEAR",'DEPRECIAÇÃO LINEAR'!H23,(VLOOKUP(E15,'DEPRECIAÇÃO LINEAR'!W12:AM25,17,0)))</f>
        <v>3983.0128500000005</v>
      </c>
      <c r="L51" s="55" t="s">
        <v>130</v>
      </c>
    </row>
    <row r="52" spans="1:12" ht="15.75" x14ac:dyDescent="0.25">
      <c r="A52" s="7" t="s">
        <v>26</v>
      </c>
      <c r="B52" s="7"/>
      <c r="C52" s="193" t="s">
        <v>27</v>
      </c>
      <c r="D52" s="193"/>
      <c r="E52" s="193"/>
      <c r="F52" s="193"/>
      <c r="G52" s="7"/>
      <c r="H52" s="7"/>
      <c r="I52" s="7"/>
      <c r="J52" s="58"/>
      <c r="K52" s="58"/>
      <c r="L52" s="7"/>
    </row>
    <row r="53" spans="1:12" ht="15.75" x14ac:dyDescent="0.25">
      <c r="A53" s="7"/>
      <c r="B53" s="7" t="s">
        <v>31</v>
      </c>
      <c r="C53" s="193" t="s">
        <v>28</v>
      </c>
      <c r="D53" s="193"/>
      <c r="E53" s="193"/>
      <c r="F53" s="193"/>
      <c r="G53" s="7"/>
      <c r="H53" s="7"/>
      <c r="I53" s="7"/>
      <c r="J53" s="58"/>
      <c r="K53" s="58">
        <f>'Motorista de Veiculo Pesado'!E90</f>
        <v>8468.4608078400015</v>
      </c>
      <c r="L53" s="7"/>
    </row>
    <row r="54" spans="1:12" ht="15.75" x14ac:dyDescent="0.25">
      <c r="A54" s="7"/>
      <c r="B54" s="7" t="s">
        <v>32</v>
      </c>
      <c r="C54" s="193" t="s">
        <v>29</v>
      </c>
      <c r="D54" s="193"/>
      <c r="E54" s="193"/>
      <c r="F54" s="193"/>
      <c r="G54" s="7"/>
      <c r="H54" s="7"/>
      <c r="I54" s="7"/>
      <c r="J54" s="58"/>
      <c r="K54" s="58">
        <f>'Monitor de Transporte Escolar'!E90</f>
        <v>4485.726463695999</v>
      </c>
      <c r="L54" s="7"/>
    </row>
    <row r="55" spans="1:12" ht="15.75" x14ac:dyDescent="0.25">
      <c r="A55" s="7" t="s">
        <v>30</v>
      </c>
      <c r="B55" s="7"/>
      <c r="C55" s="193" t="s">
        <v>34</v>
      </c>
      <c r="D55" s="193"/>
      <c r="E55" s="193"/>
      <c r="F55" s="193"/>
      <c r="G55" s="7"/>
      <c r="H55" s="7"/>
      <c r="I55" s="7"/>
      <c r="J55" s="58"/>
      <c r="K55" s="58"/>
      <c r="L55" s="56"/>
    </row>
    <row r="56" spans="1:12" ht="15.75" x14ac:dyDescent="0.25">
      <c r="A56" s="7"/>
      <c r="B56" s="7" t="s">
        <v>33</v>
      </c>
      <c r="C56" s="7" t="s">
        <v>35</v>
      </c>
      <c r="D56" s="7"/>
      <c r="E56" s="7"/>
      <c r="F56" s="7"/>
      <c r="G56" s="7"/>
      <c r="H56" s="7"/>
      <c r="I56" s="7"/>
      <c r="J56" s="58">
        <f>1/100*E12</f>
        <v>5310.6837999999998</v>
      </c>
      <c r="K56" s="58">
        <f>J56/12</f>
        <v>442.55698333333333</v>
      </c>
      <c r="L56" s="7"/>
    </row>
    <row r="57" spans="1:12" ht="15.75" x14ac:dyDescent="0.25">
      <c r="A57" s="7"/>
      <c r="B57" s="7" t="s">
        <v>36</v>
      </c>
      <c r="C57" s="7" t="s">
        <v>37</v>
      </c>
      <c r="D57" s="7"/>
      <c r="E57" s="7"/>
      <c r="F57" s="7"/>
      <c r="G57" s="7"/>
      <c r="H57" s="7"/>
      <c r="I57" s="7"/>
      <c r="J57" s="58">
        <v>230.25</v>
      </c>
      <c r="K57" s="58">
        <f>J57/12</f>
        <v>19.1875</v>
      </c>
      <c r="L57" s="7"/>
    </row>
    <row r="58" spans="1:12" ht="15.75" x14ac:dyDescent="0.25">
      <c r="A58" s="7"/>
      <c r="B58" s="7" t="s">
        <v>38</v>
      </c>
      <c r="C58" s="193" t="s">
        <v>39</v>
      </c>
      <c r="D58" s="193"/>
      <c r="E58" s="193"/>
      <c r="F58" s="193"/>
      <c r="G58" s="7"/>
      <c r="H58" s="7"/>
      <c r="I58" s="7"/>
      <c r="J58" s="58">
        <v>161.80000000000001</v>
      </c>
      <c r="K58" s="58">
        <f>J58/12</f>
        <v>13.483333333333334</v>
      </c>
      <c r="L58" s="7"/>
    </row>
    <row r="59" spans="1:12" ht="15.75" x14ac:dyDescent="0.25">
      <c r="A59" s="7" t="s">
        <v>41</v>
      </c>
      <c r="B59" s="7"/>
      <c r="C59" s="7" t="s">
        <v>40</v>
      </c>
      <c r="D59" s="7"/>
      <c r="E59" s="7"/>
      <c r="F59" s="7"/>
      <c r="G59" s="7"/>
      <c r="H59" s="7"/>
      <c r="I59" s="7"/>
      <c r="J59" s="58">
        <v>0</v>
      </c>
      <c r="K59" s="58">
        <f>J59/12</f>
        <v>0</v>
      </c>
      <c r="L59" s="7"/>
    </row>
    <row r="60" spans="1:12" ht="15.75" x14ac:dyDescent="0.25">
      <c r="A60" s="7" t="s">
        <v>57</v>
      </c>
      <c r="B60" s="7"/>
      <c r="C60" s="193" t="s">
        <v>58</v>
      </c>
      <c r="D60" s="193"/>
      <c r="E60" s="193"/>
      <c r="F60" s="193"/>
      <c r="G60" s="193"/>
      <c r="H60" s="7"/>
      <c r="I60" s="7"/>
      <c r="J60" s="58">
        <f>Insumos!$B$8</f>
        <v>350.88</v>
      </c>
      <c r="K60" s="58">
        <f>4*J60</f>
        <v>1403.52</v>
      </c>
      <c r="L60" s="7"/>
    </row>
    <row r="61" spans="1:12" ht="15.75" x14ac:dyDescent="0.25">
      <c r="A61" s="7" t="s">
        <v>60</v>
      </c>
      <c r="B61" s="7"/>
      <c r="C61" s="45" t="s">
        <v>63</v>
      </c>
      <c r="D61" s="45"/>
      <c r="E61" s="45"/>
      <c r="F61" s="45"/>
      <c r="G61" s="45"/>
      <c r="H61" s="7"/>
      <c r="I61" s="7"/>
      <c r="J61" s="58">
        <f>Insumos!$B$9</f>
        <v>2680.95</v>
      </c>
      <c r="K61" s="58">
        <f>J61/12</f>
        <v>223.41249999999999</v>
      </c>
      <c r="L61" s="7"/>
    </row>
    <row r="62" spans="1:12" ht="15.75" x14ac:dyDescent="0.25">
      <c r="A62" s="7" t="s">
        <v>61</v>
      </c>
      <c r="B62" s="7"/>
      <c r="C62" s="193" t="s">
        <v>62</v>
      </c>
      <c r="D62" s="193"/>
      <c r="E62" s="193"/>
      <c r="F62" s="45"/>
      <c r="G62" s="45"/>
      <c r="H62" s="7"/>
      <c r="I62" s="7"/>
      <c r="J62" s="60">
        <f>Insumos!$B$10</f>
        <v>932.23</v>
      </c>
      <c r="K62" s="58">
        <f>J62/12</f>
        <v>77.685833333333335</v>
      </c>
      <c r="L62" s="7"/>
    </row>
    <row r="63" spans="1:12" ht="15.75" x14ac:dyDescent="0.25">
      <c r="A63" s="7" t="s">
        <v>142</v>
      </c>
      <c r="B63" s="7"/>
      <c r="C63" s="203" t="s">
        <v>143</v>
      </c>
      <c r="D63" s="203"/>
      <c r="E63" s="203"/>
      <c r="F63" s="203"/>
      <c r="G63" s="164"/>
      <c r="H63" s="7"/>
      <c r="I63" s="7"/>
      <c r="J63" s="60">
        <f>Insumos!$B$11</f>
        <v>471.82</v>
      </c>
      <c r="K63" s="72">
        <f>J63/24</f>
        <v>19.659166666666668</v>
      </c>
      <c r="L63" s="7"/>
    </row>
    <row r="64" spans="1:12" ht="15.75" x14ac:dyDescent="0.25">
      <c r="A64" s="7" t="s">
        <v>340</v>
      </c>
      <c r="B64" s="7"/>
      <c r="C64" s="165" t="s">
        <v>343</v>
      </c>
      <c r="D64" s="165"/>
      <c r="E64" s="165"/>
      <c r="F64" s="165"/>
      <c r="G64" s="164"/>
      <c r="H64" s="7"/>
      <c r="I64" s="7"/>
      <c r="J64" s="60">
        <f>Insumos!$B$12</f>
        <v>14.372399999999997</v>
      </c>
      <c r="K64" s="72">
        <f>J64/60</f>
        <v>0.23953999999999995</v>
      </c>
      <c r="L64" s="7"/>
    </row>
    <row r="65" spans="1:13" ht="20.25" customHeight="1" x14ac:dyDescent="0.25">
      <c r="A65" s="259" t="s">
        <v>43</v>
      </c>
      <c r="B65" s="260"/>
      <c r="C65" s="260"/>
      <c r="D65" s="260"/>
      <c r="E65" s="260"/>
      <c r="F65" s="260"/>
      <c r="G65" s="260"/>
      <c r="H65" s="260"/>
      <c r="I65" s="260"/>
      <c r="J65" s="261"/>
      <c r="K65" s="67">
        <f>SUM(K51:K64)</f>
        <v>19136.944978202664</v>
      </c>
      <c r="L65" s="57" t="s">
        <v>16</v>
      </c>
      <c r="M65" s="4"/>
    </row>
    <row r="67" spans="1:13" ht="19.5" customHeight="1" x14ac:dyDescent="0.3">
      <c r="A67" s="262" t="s">
        <v>132</v>
      </c>
      <c r="B67" s="263"/>
      <c r="C67" s="263"/>
      <c r="D67" s="263"/>
      <c r="E67" s="263"/>
      <c r="F67" s="263"/>
      <c r="G67" s="263"/>
      <c r="H67" s="263"/>
      <c r="I67" s="264"/>
      <c r="K67" s="66">
        <f>K47+K65</f>
        <v>25700.352865832065</v>
      </c>
    </row>
    <row r="69" spans="1:13" ht="15.75" x14ac:dyDescent="0.25">
      <c r="A69" s="254" t="s">
        <v>133</v>
      </c>
      <c r="B69" s="255"/>
      <c r="C69" s="255"/>
      <c r="D69" s="255"/>
      <c r="E69" s="256"/>
      <c r="I69" s="265" t="s">
        <v>55</v>
      </c>
      <c r="J69" s="266"/>
    </row>
    <row r="70" spans="1:13" ht="15.75" x14ac:dyDescent="0.25">
      <c r="A70" s="7" t="s">
        <v>341</v>
      </c>
      <c r="B70" s="7"/>
      <c r="C70" s="193" t="s">
        <v>54</v>
      </c>
      <c r="D70" s="193"/>
      <c r="E70" s="193"/>
      <c r="F70" s="193"/>
      <c r="G70" s="7"/>
      <c r="H70" s="7"/>
      <c r="I70" s="168">
        <f>Insumos!$B$15</f>
        <v>2.6599999999999999E-2</v>
      </c>
      <c r="J70" s="7"/>
      <c r="K70" s="58">
        <f>I70*K67</f>
        <v>683.62938623113291</v>
      </c>
      <c r="L70" s="7"/>
    </row>
    <row r="71" spans="1:13" ht="15.75" x14ac:dyDescent="0.25">
      <c r="A71" s="7" t="s">
        <v>342</v>
      </c>
      <c r="B71" s="7"/>
      <c r="C71" s="193" t="s">
        <v>59</v>
      </c>
      <c r="D71" s="193"/>
      <c r="E71" s="193"/>
      <c r="F71" s="193"/>
      <c r="G71" s="7"/>
      <c r="H71" s="7"/>
      <c r="I71" s="169">
        <f>Insumos!$B$16</f>
        <v>0.04</v>
      </c>
      <c r="J71" s="7"/>
      <c r="K71" s="58">
        <f>I71*(K67+K70)</f>
        <v>1055.3592900825279</v>
      </c>
      <c r="L71" s="7"/>
    </row>
    <row r="72" spans="1:13" ht="18.75" x14ac:dyDescent="0.3">
      <c r="A72" s="7"/>
      <c r="B72" s="7"/>
      <c r="C72" s="7"/>
      <c r="D72" s="7"/>
      <c r="E72" s="7"/>
      <c r="F72" s="7"/>
      <c r="G72" s="7"/>
      <c r="H72" s="7"/>
      <c r="I72" s="7"/>
      <c r="J72" s="61" t="s">
        <v>131</v>
      </c>
      <c r="K72" s="65">
        <f>SUM(K70:K71)</f>
        <v>1738.9886763136608</v>
      </c>
      <c r="L72" s="54" t="s">
        <v>16</v>
      </c>
    </row>
    <row r="74" spans="1:13" ht="15.75" x14ac:dyDescent="0.25">
      <c r="A74" s="254" t="s">
        <v>134</v>
      </c>
      <c r="B74" s="255"/>
      <c r="C74" s="255"/>
      <c r="D74" s="255"/>
      <c r="E74" s="256"/>
      <c r="F74" s="7"/>
      <c r="G74" s="7"/>
      <c r="H74" s="7"/>
      <c r="I74" s="7"/>
      <c r="J74" s="7"/>
      <c r="K74" s="7"/>
      <c r="L74" s="7"/>
    </row>
    <row r="75" spans="1:13" ht="15.75" x14ac:dyDescent="0.25">
      <c r="A75" s="193" t="s">
        <v>42</v>
      </c>
      <c r="B75" s="193"/>
      <c r="C75" s="193"/>
      <c r="D75" s="193"/>
      <c r="E75" s="193"/>
      <c r="F75" s="193"/>
      <c r="G75" s="7"/>
      <c r="H75" s="7"/>
      <c r="I75" s="219" t="s">
        <v>47</v>
      </c>
      <c r="J75" s="220"/>
      <c r="K75" s="51">
        <f>K67+K72</f>
        <v>27439.341542145725</v>
      </c>
      <c r="L75" s="7"/>
    </row>
    <row r="76" spans="1:13" ht="15.75" x14ac:dyDescent="0.25">
      <c r="A76" s="7" t="s">
        <v>53</v>
      </c>
      <c r="C76" s="7" t="s">
        <v>44</v>
      </c>
      <c r="D76" s="7"/>
      <c r="E76" s="7"/>
      <c r="F76" s="7"/>
      <c r="G76" s="7"/>
      <c r="H76" s="7"/>
      <c r="I76" s="257">
        <f>Insumos!$B$18</f>
        <v>0.05</v>
      </c>
      <c r="J76" s="258"/>
      <c r="K76" s="51">
        <f>$K$75/(1-(SUM($I$76:$J$78)))*I76</f>
        <v>1501.8796684261481</v>
      </c>
      <c r="L76" s="7"/>
    </row>
    <row r="77" spans="1:13" ht="15.75" x14ac:dyDescent="0.25">
      <c r="A77" s="7" t="s">
        <v>344</v>
      </c>
      <c r="C77" s="7" t="s">
        <v>45</v>
      </c>
      <c r="D77" s="7"/>
      <c r="E77" s="7"/>
      <c r="F77" s="7"/>
      <c r="G77" s="7"/>
      <c r="H77" s="7"/>
      <c r="I77" s="257">
        <f>Insumos!$B$19</f>
        <v>6.4999999999999997E-3</v>
      </c>
      <c r="J77" s="258"/>
      <c r="K77" s="51">
        <f>$K$75/(1-(SUM($I$76:$J$78)))*I77</f>
        <v>195.24435689539925</v>
      </c>
      <c r="L77" s="7"/>
    </row>
    <row r="78" spans="1:13" ht="15.75" x14ac:dyDescent="0.25">
      <c r="A78" s="7" t="s">
        <v>345</v>
      </c>
      <c r="C78" s="7" t="s">
        <v>46</v>
      </c>
      <c r="D78" s="7"/>
      <c r="E78" s="7"/>
      <c r="F78" s="7"/>
      <c r="G78" s="7"/>
      <c r="H78" s="7"/>
      <c r="I78" s="257">
        <f>Insumos!$B$20</f>
        <v>0.03</v>
      </c>
      <c r="J78" s="258"/>
      <c r="K78" s="51">
        <f>$K$75/(1-(SUM($I$76:$J$78)))*I78</f>
        <v>901.12780105568879</v>
      </c>
      <c r="L78" s="7"/>
    </row>
    <row r="79" spans="1:13" ht="21" customHeight="1" x14ac:dyDescent="0.3">
      <c r="A79" s="251" t="s">
        <v>48</v>
      </c>
      <c r="B79" s="252"/>
      <c r="C79" s="252"/>
      <c r="D79" s="252"/>
      <c r="E79" s="252"/>
      <c r="F79" s="252"/>
      <c r="G79" s="252"/>
      <c r="H79" s="252"/>
      <c r="I79" s="252"/>
      <c r="J79" s="253"/>
      <c r="K79" s="64">
        <f>SUM(K76:K78)</f>
        <v>2598.2518263772363</v>
      </c>
      <c r="L79" s="54" t="s">
        <v>16</v>
      </c>
    </row>
    <row r="81" spans="1:20" x14ac:dyDescent="0.25">
      <c r="C81" s="5"/>
      <c r="D81" s="5"/>
      <c r="E81" s="5"/>
      <c r="F81" s="5"/>
      <c r="K81" s="2"/>
    </row>
    <row r="82" spans="1:20" ht="15.75" x14ac:dyDescent="0.25">
      <c r="A82" s="191" t="s">
        <v>56</v>
      </c>
      <c r="B82" s="191"/>
      <c r="C82" s="191"/>
      <c r="D82" s="191"/>
      <c r="E82" s="191"/>
      <c r="F82" s="191"/>
      <c r="G82" s="191"/>
      <c r="H82" s="191"/>
      <c r="I82" s="191"/>
      <c r="T82" s="43"/>
    </row>
    <row r="83" spans="1:20" ht="15.75" x14ac:dyDescent="0.25">
      <c r="A83" s="6"/>
      <c r="B83" s="6"/>
      <c r="C83" s="6"/>
      <c r="D83" s="6"/>
      <c r="E83" s="6"/>
      <c r="F83" s="6"/>
      <c r="G83" s="6"/>
      <c r="H83" s="6"/>
      <c r="I83" s="6"/>
    </row>
    <row r="84" spans="1:20" ht="15.75" x14ac:dyDescent="0.25">
      <c r="A84" s="191" t="s">
        <v>51</v>
      </c>
      <c r="B84" s="192"/>
      <c r="C84" s="192"/>
      <c r="D84" s="192"/>
      <c r="E84" s="192"/>
      <c r="F84" s="192"/>
      <c r="G84" s="192"/>
      <c r="H84" s="192"/>
    </row>
    <row r="85" spans="1:20" ht="20.25" customHeight="1" x14ac:dyDescent="0.3">
      <c r="A85" s="193" t="s">
        <v>135</v>
      </c>
      <c r="B85" s="193"/>
      <c r="C85" s="193"/>
      <c r="D85" s="193"/>
      <c r="E85" s="193"/>
      <c r="F85" s="193"/>
      <c r="G85" s="193"/>
      <c r="H85" s="193"/>
      <c r="I85" s="193"/>
      <c r="J85" s="193"/>
      <c r="K85" s="62">
        <f>K67+K72+K79</f>
        <v>30037.593368522961</v>
      </c>
    </row>
    <row r="86" spans="1:20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2"/>
    </row>
    <row r="87" spans="1:20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2"/>
      <c r="P87" s="42"/>
    </row>
    <row r="88" spans="1:20" ht="8.25" customHeight="1" x14ac:dyDescent="0.25"/>
    <row r="89" spans="1:20" ht="16.5" customHeight="1" x14ac:dyDescent="0.25">
      <c r="A89" s="194" t="s">
        <v>49</v>
      </c>
      <c r="B89" s="195"/>
      <c r="C89" s="195"/>
      <c r="D89" s="195"/>
      <c r="E89" s="195"/>
      <c r="F89" s="195"/>
      <c r="G89" s="195"/>
      <c r="H89" s="195"/>
      <c r="I89" s="195"/>
      <c r="J89" s="195"/>
      <c r="K89" s="7"/>
      <c r="L89" s="7"/>
    </row>
    <row r="90" spans="1:20" ht="24.75" customHeight="1" x14ac:dyDescent="0.3">
      <c r="A90" s="196" t="s">
        <v>141</v>
      </c>
      <c r="B90" s="196"/>
      <c r="C90" s="196"/>
      <c r="D90" s="196"/>
      <c r="E90" s="196"/>
      <c r="F90" s="196"/>
      <c r="G90" s="196"/>
      <c r="H90" s="196"/>
      <c r="I90" s="196"/>
      <c r="J90" s="196"/>
      <c r="K90" s="71">
        <f>K85/O18</f>
        <v>23.603326550780263</v>
      </c>
      <c r="L90" s="63" t="s">
        <v>50</v>
      </c>
    </row>
    <row r="94" spans="1:20" s="10" customFormat="1" x14ac:dyDescent="0.25"/>
    <row r="95" spans="1:20" s="11" customFormat="1" ht="18.75" x14ac:dyDescent="0.3">
      <c r="B95" s="12" t="s">
        <v>69</v>
      </c>
      <c r="D95" s="188" t="s">
        <v>65</v>
      </c>
      <c r="E95" s="188"/>
      <c r="L95" s="12" t="s">
        <v>69</v>
      </c>
      <c r="M95" s="12"/>
      <c r="N95" s="12" t="s">
        <v>75</v>
      </c>
      <c r="O95" s="12"/>
    </row>
    <row r="96" spans="1:20" s="11" customFormat="1" x14ac:dyDescent="0.25"/>
    <row r="97" spans="2:18" s="11" customFormat="1" x14ac:dyDescent="0.25">
      <c r="B97" s="184" t="s">
        <v>66</v>
      </c>
      <c r="C97" s="184"/>
      <c r="D97" s="13"/>
      <c r="E97" s="13"/>
      <c r="F97" s="189">
        <v>288912</v>
      </c>
      <c r="G97" s="189"/>
      <c r="L97" s="13" t="s">
        <v>66</v>
      </c>
      <c r="M97" s="13"/>
      <c r="N97" s="13"/>
      <c r="O97" s="13"/>
      <c r="P97" s="13"/>
      <c r="Q97" s="30">
        <v>271500</v>
      </c>
    </row>
    <row r="98" spans="2:18" s="11" customFormat="1" x14ac:dyDescent="0.25">
      <c r="B98" s="13" t="s">
        <v>67</v>
      </c>
      <c r="D98" s="13"/>
      <c r="E98" s="13"/>
      <c r="F98" s="185">
        <v>10</v>
      </c>
      <c r="G98" s="185"/>
      <c r="H98" s="11" t="s">
        <v>154</v>
      </c>
      <c r="L98" s="13" t="s">
        <v>67</v>
      </c>
      <c r="M98" s="13"/>
      <c r="N98" s="13"/>
      <c r="O98" s="13"/>
      <c r="P98" s="13"/>
      <c r="Q98" s="13">
        <v>10</v>
      </c>
      <c r="R98" s="11" t="s">
        <v>154</v>
      </c>
    </row>
    <row r="99" spans="2:18" s="11" customFormat="1" x14ac:dyDescent="0.25">
      <c r="B99" s="13" t="s">
        <v>81</v>
      </c>
      <c r="D99" s="13"/>
      <c r="E99" s="13"/>
      <c r="F99" s="14"/>
      <c r="G99" s="14">
        <v>2018</v>
      </c>
      <c r="L99" s="13" t="s">
        <v>81</v>
      </c>
      <c r="N99" s="13"/>
      <c r="O99" s="13"/>
      <c r="P99" s="14"/>
      <c r="Q99" s="14">
        <v>2018</v>
      </c>
    </row>
    <row r="100" spans="2:18" s="11" customFormat="1" x14ac:dyDescent="0.25">
      <c r="B100" s="184" t="s">
        <v>68</v>
      </c>
      <c r="C100" s="184"/>
      <c r="D100" s="184"/>
      <c r="F100" s="185">
        <v>6</v>
      </c>
      <c r="G100" s="185"/>
      <c r="L100" s="13" t="s">
        <v>76</v>
      </c>
      <c r="M100" s="13"/>
      <c r="N100" s="13"/>
      <c r="O100" s="13"/>
      <c r="P100" s="13"/>
      <c r="Q100" s="13">
        <v>6</v>
      </c>
    </row>
    <row r="101" spans="2:18" s="11" customFormat="1" x14ac:dyDescent="0.25">
      <c r="B101" s="184" t="s">
        <v>71</v>
      </c>
      <c r="C101" s="184"/>
      <c r="D101" s="184"/>
      <c r="F101" s="14"/>
      <c r="G101" s="17">
        <v>100000</v>
      </c>
      <c r="L101" s="13" t="s">
        <v>71</v>
      </c>
      <c r="M101" s="13"/>
      <c r="N101" s="13"/>
      <c r="O101" s="13"/>
      <c r="P101" s="13"/>
      <c r="Q101" s="19">
        <v>100000</v>
      </c>
    </row>
    <row r="102" spans="2:18" s="11" customFormat="1" x14ac:dyDescent="0.25">
      <c r="B102" s="184" t="s">
        <v>72</v>
      </c>
      <c r="C102" s="184"/>
      <c r="D102" s="184"/>
      <c r="F102" s="14"/>
      <c r="G102" s="20">
        <v>1533.77</v>
      </c>
      <c r="L102" s="13" t="s">
        <v>72</v>
      </c>
      <c r="M102" s="13"/>
      <c r="N102" s="13"/>
      <c r="O102" s="13"/>
      <c r="P102" s="13"/>
      <c r="Q102" s="69">
        <v>860.69</v>
      </c>
    </row>
    <row r="103" spans="2:18" s="11" customFormat="1" x14ac:dyDescent="0.25">
      <c r="B103" s="184" t="s">
        <v>73</v>
      </c>
      <c r="C103" s="184"/>
      <c r="D103" s="15"/>
      <c r="F103" s="14"/>
      <c r="G103" s="14">
        <v>2.6</v>
      </c>
      <c r="H103" s="13" t="s">
        <v>74</v>
      </c>
      <c r="L103" s="13" t="s">
        <v>73</v>
      </c>
      <c r="M103" s="13"/>
      <c r="N103" s="13"/>
      <c r="O103" s="13"/>
      <c r="P103" s="13"/>
      <c r="Q103" s="13">
        <v>4.7</v>
      </c>
    </row>
    <row r="104" spans="2:18" s="11" customFormat="1" x14ac:dyDescent="0.25">
      <c r="B104" s="184" t="s">
        <v>70</v>
      </c>
      <c r="C104" s="184"/>
      <c r="D104" s="184"/>
      <c r="F104" s="185" t="s">
        <v>125</v>
      </c>
      <c r="G104" s="185"/>
      <c r="L104" s="13" t="s">
        <v>70</v>
      </c>
      <c r="M104" s="13"/>
      <c r="N104" s="13"/>
      <c r="O104" s="13"/>
      <c r="P104" s="13"/>
      <c r="Q104" s="13" t="s">
        <v>124</v>
      </c>
    </row>
    <row r="105" spans="2:18" s="11" customFormat="1" x14ac:dyDescent="0.25"/>
    <row r="106" spans="2:18" s="11" customFormat="1" x14ac:dyDescent="0.25"/>
    <row r="107" spans="2:18" s="11" customFormat="1" ht="18.75" x14ac:dyDescent="0.3">
      <c r="B107" s="12" t="s">
        <v>69</v>
      </c>
      <c r="C107" s="12"/>
      <c r="D107" s="12" t="s">
        <v>77</v>
      </c>
      <c r="E107" s="13"/>
      <c r="F107" s="13"/>
      <c r="G107" s="13"/>
      <c r="H107" s="13"/>
      <c r="L107" s="12" t="s">
        <v>69</v>
      </c>
      <c r="M107" s="16"/>
      <c r="N107" s="16"/>
      <c r="O107" s="12" t="s">
        <v>78</v>
      </c>
    </row>
    <row r="108" spans="2:18" s="11" customFormat="1" x14ac:dyDescent="0.25">
      <c r="B108" s="13"/>
      <c r="C108" s="13"/>
      <c r="D108" s="13"/>
      <c r="E108" s="13"/>
      <c r="F108" s="13"/>
      <c r="G108" s="13"/>
      <c r="H108" s="13"/>
    </row>
    <row r="109" spans="2:18" s="11" customFormat="1" x14ac:dyDescent="0.25">
      <c r="B109" s="184" t="s">
        <v>66</v>
      </c>
      <c r="C109" s="184"/>
      <c r="D109" s="13"/>
      <c r="E109" s="13"/>
      <c r="F109" s="185">
        <v>400</v>
      </c>
      <c r="G109" s="185"/>
      <c r="H109" s="13"/>
      <c r="L109" s="184" t="s">
        <v>66</v>
      </c>
      <c r="M109" s="184"/>
      <c r="N109" s="13"/>
      <c r="O109" s="13"/>
      <c r="P109" s="185" t="s">
        <v>78</v>
      </c>
      <c r="Q109" s="185"/>
      <c r="R109" s="13"/>
    </row>
    <row r="110" spans="2:18" s="11" customFormat="1" x14ac:dyDescent="0.25">
      <c r="B110" s="13" t="s">
        <v>67</v>
      </c>
      <c r="C110" s="13"/>
      <c r="D110" s="13"/>
      <c r="E110" s="13"/>
      <c r="F110" s="185">
        <v>10</v>
      </c>
      <c r="G110" s="185"/>
      <c r="H110" s="13" t="s">
        <v>154</v>
      </c>
      <c r="L110" s="13" t="s">
        <v>67</v>
      </c>
      <c r="M110" s="13"/>
      <c r="N110" s="13"/>
      <c r="O110" s="13"/>
      <c r="P110" s="185">
        <v>8</v>
      </c>
      <c r="Q110" s="185"/>
      <c r="R110" s="13" t="s">
        <v>154</v>
      </c>
    </row>
    <row r="111" spans="2:18" s="11" customFormat="1" x14ac:dyDescent="0.25">
      <c r="B111" s="13" t="s">
        <v>81</v>
      </c>
      <c r="D111" s="13"/>
      <c r="E111" s="13"/>
      <c r="F111" s="14"/>
      <c r="G111" s="14" t="s">
        <v>82</v>
      </c>
      <c r="L111" s="13" t="s">
        <v>81</v>
      </c>
      <c r="N111" s="13"/>
      <c r="O111" s="13"/>
      <c r="P111" s="14"/>
      <c r="Q111" s="14" t="s">
        <v>83</v>
      </c>
      <c r="R111" s="13"/>
    </row>
    <row r="112" spans="2:18" s="11" customFormat="1" x14ac:dyDescent="0.25">
      <c r="B112" s="184" t="s">
        <v>68</v>
      </c>
      <c r="C112" s="184"/>
      <c r="D112" s="184"/>
      <c r="E112" s="13"/>
      <c r="F112" s="185" t="s">
        <v>87</v>
      </c>
      <c r="G112" s="185"/>
      <c r="H112" s="13"/>
      <c r="L112" s="184" t="s">
        <v>68</v>
      </c>
      <c r="M112" s="184"/>
      <c r="N112" s="184"/>
      <c r="O112" s="13"/>
      <c r="P112" s="185" t="s">
        <v>88</v>
      </c>
      <c r="Q112" s="185"/>
      <c r="R112" s="13"/>
    </row>
    <row r="113" spans="2:21" s="11" customFormat="1" x14ac:dyDescent="0.25">
      <c r="B113" s="184" t="s">
        <v>71</v>
      </c>
      <c r="C113" s="184"/>
      <c r="D113" s="184"/>
      <c r="E113" s="13"/>
      <c r="F113" s="14"/>
      <c r="G113" s="14" t="s">
        <v>89</v>
      </c>
      <c r="H113" s="13"/>
      <c r="L113" s="184" t="s">
        <v>71</v>
      </c>
      <c r="M113" s="184"/>
      <c r="N113" s="184"/>
      <c r="O113" s="13"/>
      <c r="P113" s="14"/>
      <c r="Q113" s="14" t="s">
        <v>90</v>
      </c>
      <c r="R113" s="13"/>
    </row>
    <row r="114" spans="2:21" s="11" customFormat="1" x14ac:dyDescent="0.25">
      <c r="B114" s="184" t="s">
        <v>72</v>
      </c>
      <c r="C114" s="184"/>
      <c r="D114" s="184"/>
      <c r="E114" s="13"/>
      <c r="F114" s="14"/>
      <c r="G114" s="14">
        <v>400</v>
      </c>
      <c r="H114" s="13"/>
      <c r="L114" s="184" t="s">
        <v>72</v>
      </c>
      <c r="M114" s="184"/>
      <c r="N114" s="184"/>
      <c r="O114" s="13"/>
      <c r="P114" s="14"/>
      <c r="Q114" s="14">
        <v>4444</v>
      </c>
      <c r="R114" s="13"/>
    </row>
    <row r="115" spans="2:21" s="11" customFormat="1" x14ac:dyDescent="0.25">
      <c r="B115" s="184" t="s">
        <v>73</v>
      </c>
      <c r="C115" s="184"/>
      <c r="D115" s="15"/>
      <c r="E115" s="13"/>
      <c r="F115" s="14"/>
      <c r="G115" s="14">
        <v>2</v>
      </c>
      <c r="H115" s="13" t="s">
        <v>74</v>
      </c>
      <c r="L115" s="184" t="s">
        <v>73</v>
      </c>
      <c r="M115" s="184"/>
      <c r="N115" s="15"/>
      <c r="O115" s="13"/>
      <c r="P115" s="14"/>
      <c r="Q115" s="14">
        <v>4</v>
      </c>
      <c r="R115" s="13" t="s">
        <v>74</v>
      </c>
    </row>
    <row r="116" spans="2:21" s="11" customFormat="1" x14ac:dyDescent="0.25">
      <c r="B116" s="184" t="s">
        <v>70</v>
      </c>
      <c r="C116" s="184"/>
      <c r="D116" s="184"/>
      <c r="E116" s="13"/>
      <c r="F116" s="185" t="s">
        <v>85</v>
      </c>
      <c r="G116" s="185"/>
      <c r="H116" s="13"/>
      <c r="L116" s="184" t="s">
        <v>70</v>
      </c>
      <c r="M116" s="184"/>
      <c r="N116" s="184"/>
      <c r="O116" s="13"/>
      <c r="P116" s="185" t="s">
        <v>86</v>
      </c>
      <c r="Q116" s="185"/>
      <c r="R116" s="13"/>
    </row>
    <row r="117" spans="2:21" s="11" customFormat="1" x14ac:dyDescent="0.25"/>
    <row r="118" spans="2:21" s="11" customFormat="1" x14ac:dyDescent="0.25"/>
    <row r="119" spans="2:21" s="11" customFormat="1" ht="18.75" x14ac:dyDescent="0.3">
      <c r="Q119" s="12" t="s">
        <v>65</v>
      </c>
      <c r="R119" s="12"/>
      <c r="T119" s="13" t="s">
        <v>130</v>
      </c>
      <c r="U119" s="13"/>
    </row>
    <row r="120" spans="2:21" s="11" customFormat="1" ht="18.75" x14ac:dyDescent="0.3">
      <c r="Q120" s="12" t="s">
        <v>75</v>
      </c>
      <c r="T120" s="13" t="s">
        <v>129</v>
      </c>
      <c r="U120" s="13"/>
    </row>
    <row r="121" spans="2:21" s="11" customFormat="1" ht="18.75" x14ac:dyDescent="0.3">
      <c r="Q121" s="12" t="s">
        <v>77</v>
      </c>
    </row>
    <row r="122" spans="2:21" s="11" customFormat="1" ht="18" customHeight="1" x14ac:dyDescent="0.3">
      <c r="B122" s="186" t="s">
        <v>172</v>
      </c>
      <c r="C122" s="186"/>
      <c r="Q122" s="12" t="s">
        <v>78</v>
      </c>
    </row>
    <row r="123" spans="2:21" ht="0.75" hidden="1" customHeight="1" x14ac:dyDescent="0.25">
      <c r="B123" s="186"/>
      <c r="C123" s="186"/>
    </row>
    <row r="124" spans="2:21" hidden="1" x14ac:dyDescent="0.25">
      <c r="B124" s="186"/>
      <c r="C124" s="186"/>
    </row>
    <row r="125" spans="2:21" x14ac:dyDescent="0.25">
      <c r="B125" s="186"/>
      <c r="C125" s="186"/>
    </row>
    <row r="126" spans="2:21" ht="24.75" x14ac:dyDescent="0.25">
      <c r="B126" s="94" t="s">
        <v>173</v>
      </c>
      <c r="C126" s="9" t="s">
        <v>174</v>
      </c>
      <c r="D126" s="9"/>
      <c r="E126" s="9"/>
      <c r="F126" s="9" t="s">
        <v>175</v>
      </c>
      <c r="G126" s="9"/>
      <c r="H126" s="9"/>
      <c r="I126" s="9" t="s">
        <v>176</v>
      </c>
      <c r="J126" s="9"/>
      <c r="K126" s="9"/>
      <c r="L126" s="9" t="s">
        <v>177</v>
      </c>
      <c r="M126" s="9"/>
      <c r="N126" s="9"/>
    </row>
    <row r="127" spans="2:21" x14ac:dyDescent="0.25">
      <c r="B127" s="5">
        <v>40</v>
      </c>
      <c r="C127" s="2">
        <f>$K$42*(B127*21)</f>
        <v>4049.0369329846144</v>
      </c>
      <c r="F127" s="2">
        <f>(C127+$K$65)*0.05</f>
        <v>1159.2990955593639</v>
      </c>
      <c r="I127" s="2">
        <f>(C127+$K$65+F127)*6%</f>
        <v>1460.7168604047984</v>
      </c>
      <c r="L127" s="31">
        <f>(C127+$K$65+F127+I127)*14.25%</f>
        <v>3677.3546960690801</v>
      </c>
      <c r="M127" s="9"/>
      <c r="N127" s="9"/>
    </row>
    <row r="128" spans="2:21" x14ac:dyDescent="0.25">
      <c r="B128" s="5">
        <v>50</v>
      </c>
      <c r="C128" s="2">
        <f t="shared" ref="C128:C139" si="0">$K$42*(B128*21)</f>
        <v>5061.296166230768</v>
      </c>
      <c r="F128" s="2">
        <f t="shared" ref="F128:F139" si="1">(C128+$K$65)*0.05</f>
        <v>1209.9120572216716</v>
      </c>
      <c r="I128" s="2">
        <f t="shared" ref="I128:I139" si="2">(C128+$K$65+F128)*6%</f>
        <v>1524.4891920993061</v>
      </c>
      <c r="L128" s="31">
        <f t="shared" ref="L128:L139" si="3">(C128+$K$65+F128+I128)*14.25%</f>
        <v>3837.9015411100031</v>
      </c>
      <c r="M128" s="9"/>
      <c r="N128" s="9"/>
    </row>
    <row r="129" spans="2:14" x14ac:dyDescent="0.25">
      <c r="B129" s="5">
        <v>60</v>
      </c>
      <c r="C129" s="2">
        <f t="shared" si="0"/>
        <v>6073.5553994769216</v>
      </c>
      <c r="F129" s="2">
        <f t="shared" si="1"/>
        <v>1260.5250188839793</v>
      </c>
      <c r="I129" s="2">
        <f t="shared" si="2"/>
        <v>1588.2615237938137</v>
      </c>
      <c r="L129" s="31">
        <f t="shared" si="3"/>
        <v>3998.4483861509261</v>
      </c>
      <c r="M129" s="9"/>
      <c r="N129" s="9"/>
    </row>
    <row r="130" spans="2:14" x14ac:dyDescent="0.25">
      <c r="B130" s="5">
        <v>70</v>
      </c>
      <c r="C130" s="2">
        <f t="shared" si="0"/>
        <v>7085.8146327230752</v>
      </c>
      <c r="F130" s="2">
        <f t="shared" si="1"/>
        <v>1311.1379805462871</v>
      </c>
      <c r="I130" s="2">
        <f t="shared" si="2"/>
        <v>1652.0338554883215</v>
      </c>
      <c r="L130" s="31">
        <f t="shared" si="3"/>
        <v>4158.9952311918487</v>
      </c>
      <c r="M130" s="9"/>
      <c r="N130" s="9"/>
    </row>
    <row r="131" spans="2:14" x14ac:dyDescent="0.25">
      <c r="B131" s="5">
        <v>80</v>
      </c>
      <c r="C131" s="2">
        <f t="shared" si="0"/>
        <v>8098.0738659692288</v>
      </c>
      <c r="F131" s="2">
        <f t="shared" si="1"/>
        <v>1361.7509422085948</v>
      </c>
      <c r="I131" s="2">
        <f t="shared" si="2"/>
        <v>1715.806187182829</v>
      </c>
      <c r="L131" s="31">
        <f t="shared" si="3"/>
        <v>4319.5420762327722</v>
      </c>
      <c r="M131" s="9"/>
      <c r="N131" s="9"/>
    </row>
    <row r="132" spans="2:14" x14ac:dyDescent="0.25">
      <c r="B132" s="5">
        <v>90</v>
      </c>
      <c r="C132" s="2">
        <f t="shared" si="0"/>
        <v>9110.3330992153824</v>
      </c>
      <c r="F132" s="2">
        <f t="shared" si="1"/>
        <v>1412.3639038709025</v>
      </c>
      <c r="I132" s="2">
        <f t="shared" si="2"/>
        <v>1779.578518877337</v>
      </c>
      <c r="L132" s="31">
        <f t="shared" si="3"/>
        <v>4480.0889212736956</v>
      </c>
      <c r="M132" s="9"/>
      <c r="N132" s="9"/>
    </row>
    <row r="133" spans="2:14" x14ac:dyDescent="0.25">
      <c r="B133" s="5">
        <v>100</v>
      </c>
      <c r="C133" s="2">
        <f t="shared" si="0"/>
        <v>10122.592332461536</v>
      </c>
      <c r="F133" s="2">
        <f t="shared" si="1"/>
        <v>1462.97686553321</v>
      </c>
      <c r="I133" s="2">
        <f t="shared" si="2"/>
        <v>1843.3508505718444</v>
      </c>
      <c r="L133" s="31">
        <f t="shared" si="3"/>
        <v>4640.6357663146182</v>
      </c>
      <c r="M133" s="9"/>
      <c r="N133" s="9"/>
    </row>
    <row r="134" spans="2:14" x14ac:dyDescent="0.25">
      <c r="B134" s="5">
        <v>110</v>
      </c>
      <c r="C134" s="2">
        <f t="shared" si="0"/>
        <v>11134.85156570769</v>
      </c>
      <c r="F134" s="2">
        <f t="shared" si="1"/>
        <v>1513.5898271955177</v>
      </c>
      <c r="I134" s="2">
        <f t="shared" si="2"/>
        <v>1907.1231822663524</v>
      </c>
      <c r="L134" s="31">
        <f t="shared" si="3"/>
        <v>4801.1826113555417</v>
      </c>
      <c r="M134" s="9"/>
      <c r="N134" s="9"/>
    </row>
    <row r="135" spans="2:14" x14ac:dyDescent="0.25">
      <c r="B135" s="5">
        <v>120</v>
      </c>
      <c r="C135" s="2">
        <f t="shared" si="0"/>
        <v>12147.110798953843</v>
      </c>
      <c r="F135" s="2">
        <f t="shared" si="1"/>
        <v>1564.2027888578255</v>
      </c>
      <c r="I135" s="2">
        <f t="shared" si="2"/>
        <v>1970.8955139608597</v>
      </c>
      <c r="L135" s="31">
        <f t="shared" si="3"/>
        <v>4961.7294563964642</v>
      </c>
      <c r="M135" s="9"/>
      <c r="N135" s="9"/>
    </row>
    <row r="136" spans="2:14" x14ac:dyDescent="0.25">
      <c r="B136" s="5">
        <v>130</v>
      </c>
      <c r="C136" s="2">
        <f t="shared" si="0"/>
        <v>13159.370032199997</v>
      </c>
      <c r="F136" s="2">
        <f t="shared" si="1"/>
        <v>1614.8157505201332</v>
      </c>
      <c r="I136" s="2">
        <f t="shared" si="2"/>
        <v>2034.6678456553677</v>
      </c>
      <c r="L136" s="31">
        <f t="shared" si="3"/>
        <v>5122.2763014373886</v>
      </c>
      <c r="M136" s="9"/>
      <c r="N136" s="9"/>
    </row>
    <row r="137" spans="2:14" x14ac:dyDescent="0.25">
      <c r="B137" s="5">
        <v>140</v>
      </c>
      <c r="C137" s="2">
        <f t="shared" si="0"/>
        <v>14171.62926544615</v>
      </c>
      <c r="F137" s="2">
        <f t="shared" si="1"/>
        <v>1665.4287121824409</v>
      </c>
      <c r="I137" s="2">
        <f t="shared" si="2"/>
        <v>2098.4401773498753</v>
      </c>
      <c r="L137" s="31">
        <f t="shared" si="3"/>
        <v>5282.8231464783103</v>
      </c>
      <c r="M137" s="9"/>
      <c r="N137" s="9"/>
    </row>
    <row r="138" spans="2:14" x14ac:dyDescent="0.25">
      <c r="B138" s="5">
        <v>150</v>
      </c>
      <c r="C138" s="2">
        <f t="shared" si="0"/>
        <v>15183.888498692304</v>
      </c>
      <c r="F138" s="2">
        <f t="shared" si="1"/>
        <v>1716.0416738447486</v>
      </c>
      <c r="I138" s="2">
        <f t="shared" si="2"/>
        <v>2162.2125090443828</v>
      </c>
      <c r="L138" s="31">
        <f t="shared" si="3"/>
        <v>5443.3699915192337</v>
      </c>
      <c r="M138" s="9"/>
      <c r="N138" s="9"/>
    </row>
    <row r="139" spans="2:14" x14ac:dyDescent="0.25">
      <c r="B139" s="5">
        <v>160</v>
      </c>
      <c r="C139" s="2">
        <f t="shared" si="0"/>
        <v>16196.147731938458</v>
      </c>
      <c r="F139" s="2">
        <f t="shared" si="1"/>
        <v>1766.6546355070561</v>
      </c>
      <c r="I139" s="2">
        <f t="shared" si="2"/>
        <v>2225.9848407388904</v>
      </c>
      <c r="L139" s="31">
        <f t="shared" si="3"/>
        <v>5603.9168365601563</v>
      </c>
      <c r="M139" s="9"/>
      <c r="N139" s="9"/>
    </row>
    <row r="140" spans="2:14" x14ac:dyDescent="0.25">
      <c r="B140" s="5"/>
    </row>
    <row r="143" spans="2:14" x14ac:dyDescent="0.25">
      <c r="B143" s="187" t="s">
        <v>178</v>
      </c>
      <c r="C143" s="187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</row>
    <row r="144" spans="2:14" x14ac:dyDescent="0.25">
      <c r="B144" s="187"/>
      <c r="C144" s="187"/>
    </row>
    <row r="145" spans="2:14" x14ac:dyDescent="0.25">
      <c r="B145" s="187"/>
      <c r="C145" s="187"/>
    </row>
    <row r="146" spans="2:14" x14ac:dyDescent="0.25">
      <c r="B146" s="187"/>
      <c r="C146" s="187"/>
    </row>
    <row r="147" spans="2:14" ht="24.75" x14ac:dyDescent="0.25">
      <c r="B147" s="94" t="s">
        <v>173</v>
      </c>
      <c r="C147" s="9" t="s">
        <v>174</v>
      </c>
      <c r="D147" s="9"/>
      <c r="E147" s="9"/>
      <c r="F147" s="9" t="s">
        <v>175</v>
      </c>
      <c r="G147" s="9"/>
      <c r="H147" s="9"/>
      <c r="I147" s="9" t="s">
        <v>176</v>
      </c>
      <c r="J147" s="9"/>
      <c r="K147" s="9"/>
      <c r="L147" s="9" t="s">
        <v>177</v>
      </c>
      <c r="M147" s="9"/>
      <c r="N147" s="9"/>
    </row>
    <row r="148" spans="2:14" x14ac:dyDescent="0.25">
      <c r="B148" s="5">
        <v>40</v>
      </c>
      <c r="C148" s="2">
        <f>($K$42*(B148*21))*1.154</f>
        <v>4672.5886206642444</v>
      </c>
      <c r="F148" s="2">
        <f>(C148+$K$65)*0.05</f>
        <v>1190.4766799433455</v>
      </c>
      <c r="I148" s="2">
        <f>(C148+$K$65+F148)*6%</f>
        <v>1500.0006167286153</v>
      </c>
      <c r="L148" s="31">
        <f>(C148+$K$65+F148+I148)*14.25%</f>
        <v>3776.2515526142888</v>
      </c>
      <c r="M148" s="9"/>
      <c r="N148" s="9"/>
    </row>
    <row r="149" spans="2:14" x14ac:dyDescent="0.25">
      <c r="B149" s="5">
        <v>50</v>
      </c>
      <c r="C149" s="2">
        <f t="shared" ref="C149:C160" si="4">($K$42*(B149*21))*1.154</f>
        <v>5840.735775830306</v>
      </c>
      <c r="F149" s="2">
        <f t="shared" ref="F149:F160" si="5">(C149+$K$65)*0.05</f>
        <v>1248.8840377016486</v>
      </c>
      <c r="I149" s="2">
        <f t="shared" ref="I149:I160" si="6">(C149+$K$65+F149)*6%</f>
        <v>1573.593887504077</v>
      </c>
      <c r="L149" s="31">
        <f t="shared" ref="L149:L160" si="7">(C149+$K$65+F149+I149)*14.25%</f>
        <v>3961.5226117915136</v>
      </c>
      <c r="M149" s="9"/>
      <c r="N149" s="9"/>
    </row>
    <row r="150" spans="2:14" x14ac:dyDescent="0.25">
      <c r="B150" s="5">
        <v>60</v>
      </c>
      <c r="C150" s="2">
        <f t="shared" si="4"/>
        <v>7008.8829309963667</v>
      </c>
      <c r="F150" s="2">
        <f t="shared" si="5"/>
        <v>1307.2913954599517</v>
      </c>
      <c r="I150" s="2">
        <f t="shared" si="6"/>
        <v>1647.1871582795388</v>
      </c>
      <c r="L150" s="31">
        <f t="shared" si="7"/>
        <v>4146.7936709687392</v>
      </c>
      <c r="M150" s="9"/>
      <c r="N150" s="9"/>
    </row>
    <row r="151" spans="2:14" x14ac:dyDescent="0.25">
      <c r="B151" s="5">
        <v>70</v>
      </c>
      <c r="C151" s="2">
        <f t="shared" si="4"/>
        <v>8177.0300861624282</v>
      </c>
      <c r="F151" s="2">
        <f t="shared" si="5"/>
        <v>1365.6987532182548</v>
      </c>
      <c r="I151" s="2">
        <f t="shared" si="6"/>
        <v>1720.7804290550007</v>
      </c>
      <c r="L151" s="31">
        <f t="shared" si="7"/>
        <v>4332.0647301459639</v>
      </c>
      <c r="M151" s="9"/>
      <c r="N151" s="9"/>
    </row>
    <row r="152" spans="2:14" x14ac:dyDescent="0.25">
      <c r="B152" s="5">
        <v>80</v>
      </c>
      <c r="C152" s="2">
        <f t="shared" si="4"/>
        <v>9345.1772413284889</v>
      </c>
      <c r="F152" s="2">
        <f t="shared" si="5"/>
        <v>1424.1061109765578</v>
      </c>
      <c r="I152" s="2">
        <f t="shared" si="6"/>
        <v>1794.3736998304626</v>
      </c>
      <c r="L152" s="31">
        <f t="shared" si="7"/>
        <v>4517.3357893231896</v>
      </c>
      <c r="M152" s="9"/>
      <c r="N152" s="9"/>
    </row>
    <row r="153" spans="2:14" x14ac:dyDescent="0.25">
      <c r="B153" s="5">
        <v>90</v>
      </c>
      <c r="C153" s="2">
        <f t="shared" si="4"/>
        <v>10513.32439649455</v>
      </c>
      <c r="F153" s="2">
        <f t="shared" si="5"/>
        <v>1482.5134687348609</v>
      </c>
      <c r="I153" s="2">
        <f t="shared" si="6"/>
        <v>1867.9669706059244</v>
      </c>
      <c r="L153" s="31">
        <f t="shared" si="7"/>
        <v>4702.6068485004143</v>
      </c>
      <c r="M153" s="9"/>
      <c r="N153" s="9"/>
    </row>
    <row r="154" spans="2:14" x14ac:dyDescent="0.25">
      <c r="B154" s="5">
        <v>100</v>
      </c>
      <c r="C154" s="2">
        <f t="shared" si="4"/>
        <v>11681.471551660612</v>
      </c>
      <c r="F154" s="2">
        <f t="shared" si="5"/>
        <v>1540.920826493164</v>
      </c>
      <c r="I154" s="2">
        <f t="shared" si="6"/>
        <v>1941.5602413813863</v>
      </c>
      <c r="L154" s="31">
        <f t="shared" si="7"/>
        <v>4887.8779076776391</v>
      </c>
      <c r="M154" s="9"/>
      <c r="N154" s="9"/>
    </row>
    <row r="155" spans="2:14" x14ac:dyDescent="0.25">
      <c r="B155" s="5">
        <v>110</v>
      </c>
      <c r="C155" s="2">
        <f t="shared" si="4"/>
        <v>12849.618706826674</v>
      </c>
      <c r="F155" s="2">
        <f t="shared" si="5"/>
        <v>1599.3281842514671</v>
      </c>
      <c r="I155" s="2">
        <f t="shared" si="6"/>
        <v>2015.1535121568484</v>
      </c>
      <c r="L155" s="31">
        <f t="shared" si="7"/>
        <v>5073.1489668548647</v>
      </c>
      <c r="M155" s="9"/>
      <c r="N155" s="9"/>
    </row>
    <row r="156" spans="2:14" x14ac:dyDescent="0.25">
      <c r="B156" s="5">
        <v>120</v>
      </c>
      <c r="C156" s="2">
        <f t="shared" si="4"/>
        <v>14017.765861992733</v>
      </c>
      <c r="F156" s="2">
        <f t="shared" si="5"/>
        <v>1657.7355420097699</v>
      </c>
      <c r="I156" s="2">
        <f t="shared" si="6"/>
        <v>2088.7467829323095</v>
      </c>
      <c r="L156" s="31">
        <f t="shared" si="7"/>
        <v>5258.4200260320886</v>
      </c>
      <c r="M156" s="9"/>
      <c r="N156" s="9"/>
    </row>
    <row r="157" spans="2:14" x14ac:dyDescent="0.25">
      <c r="B157" s="5">
        <v>130</v>
      </c>
      <c r="C157" s="2">
        <f t="shared" si="4"/>
        <v>15185.913017158795</v>
      </c>
      <c r="F157" s="2">
        <f t="shared" si="5"/>
        <v>1716.1428997680732</v>
      </c>
      <c r="I157" s="2">
        <f t="shared" si="6"/>
        <v>2162.3400537077719</v>
      </c>
      <c r="L157" s="31">
        <f t="shared" si="7"/>
        <v>5443.6910852093151</v>
      </c>
      <c r="M157" s="9"/>
      <c r="N157" s="9"/>
    </row>
    <row r="158" spans="2:14" x14ac:dyDescent="0.25">
      <c r="B158" s="5">
        <v>140</v>
      </c>
      <c r="C158" s="2">
        <f t="shared" si="4"/>
        <v>16354.060172324856</v>
      </c>
      <c r="F158" s="2">
        <f t="shared" si="5"/>
        <v>1774.5502575263761</v>
      </c>
      <c r="I158" s="2">
        <f t="shared" si="6"/>
        <v>2235.9333244832337</v>
      </c>
      <c r="L158" s="31">
        <f t="shared" si="7"/>
        <v>5628.9621443865399</v>
      </c>
      <c r="M158" s="9"/>
      <c r="N158" s="9"/>
    </row>
    <row r="159" spans="2:14" x14ac:dyDescent="0.25">
      <c r="B159" s="5">
        <v>150</v>
      </c>
      <c r="C159" s="2">
        <f t="shared" si="4"/>
        <v>17522.207327490916</v>
      </c>
      <c r="F159" s="2">
        <f t="shared" si="5"/>
        <v>1832.9576152846794</v>
      </c>
      <c r="I159" s="2">
        <f t="shared" si="6"/>
        <v>2309.5265952586956</v>
      </c>
      <c r="L159" s="31">
        <f t="shared" si="7"/>
        <v>5814.2332035637655</v>
      </c>
      <c r="M159" s="9"/>
      <c r="N159" s="9"/>
    </row>
    <row r="160" spans="2:14" x14ac:dyDescent="0.25">
      <c r="B160" s="5">
        <v>160</v>
      </c>
      <c r="C160" s="2">
        <f t="shared" si="4"/>
        <v>18690.354482656978</v>
      </c>
      <c r="F160" s="2">
        <f t="shared" si="5"/>
        <v>1891.3649730429822</v>
      </c>
      <c r="I160" s="2">
        <f t="shared" si="6"/>
        <v>2383.1198660341574</v>
      </c>
      <c r="L160" s="31">
        <f t="shared" si="7"/>
        <v>5999.5042627409903</v>
      </c>
      <c r="M160" s="9"/>
      <c r="N160" s="9"/>
    </row>
  </sheetData>
  <mergeCells count="121">
    <mergeCell ref="A11:F11"/>
    <mergeCell ref="K11:N11"/>
    <mergeCell ref="A12:C12"/>
    <mergeCell ref="E12:F12"/>
    <mergeCell ref="K12:N12"/>
    <mergeCell ref="A13:D13"/>
    <mergeCell ref="E13:F13"/>
    <mergeCell ref="K13:N13"/>
    <mergeCell ref="C2:F6"/>
    <mergeCell ref="H3:P5"/>
    <mergeCell ref="F7:H7"/>
    <mergeCell ref="K7:N7"/>
    <mergeCell ref="B8:C8"/>
    <mergeCell ref="I9:P9"/>
    <mergeCell ref="A9:F9"/>
    <mergeCell ref="O16:O17"/>
    <mergeCell ref="P16:P17"/>
    <mergeCell ref="T17:V17"/>
    <mergeCell ref="A14:D14"/>
    <mergeCell ref="E14:F14"/>
    <mergeCell ref="K14:N15"/>
    <mergeCell ref="O14:O15"/>
    <mergeCell ref="P14:P15"/>
    <mergeCell ref="E15:F15"/>
    <mergeCell ref="K18:N18"/>
    <mergeCell ref="A19:F19"/>
    <mergeCell ref="A20:F20"/>
    <mergeCell ref="A23:F23"/>
    <mergeCell ref="A24:D24"/>
    <mergeCell ref="E24:F24"/>
    <mergeCell ref="A16:D16"/>
    <mergeCell ref="E16:F16"/>
    <mergeCell ref="K16:N17"/>
    <mergeCell ref="H21:N22"/>
    <mergeCell ref="A28:D28"/>
    <mergeCell ref="E28:F28"/>
    <mergeCell ref="A31:F31"/>
    <mergeCell ref="A32:D32"/>
    <mergeCell ref="E32:F32"/>
    <mergeCell ref="A33:D33"/>
    <mergeCell ref="A25:D25"/>
    <mergeCell ref="E25:F25"/>
    <mergeCell ref="A26:D26"/>
    <mergeCell ref="E26:F26"/>
    <mergeCell ref="A27:D27"/>
    <mergeCell ref="E27:F27"/>
    <mergeCell ref="B41:D41"/>
    <mergeCell ref="F41:H41"/>
    <mergeCell ref="A42:E42"/>
    <mergeCell ref="A43:J43"/>
    <mergeCell ref="A45:J45"/>
    <mergeCell ref="A47:J47"/>
    <mergeCell ref="A36:E36"/>
    <mergeCell ref="B37:D37"/>
    <mergeCell ref="E37:F37"/>
    <mergeCell ref="B38:D38"/>
    <mergeCell ref="B39:D39"/>
    <mergeCell ref="B40:D40"/>
    <mergeCell ref="C54:F54"/>
    <mergeCell ref="C55:F55"/>
    <mergeCell ref="C58:F58"/>
    <mergeCell ref="C60:G60"/>
    <mergeCell ref="C62:E62"/>
    <mergeCell ref="C63:F63"/>
    <mergeCell ref="A49:E49"/>
    <mergeCell ref="H50:I50"/>
    <mergeCell ref="C51:F51"/>
    <mergeCell ref="H51:I51"/>
    <mergeCell ref="C52:F52"/>
    <mergeCell ref="C53:F53"/>
    <mergeCell ref="A74:E74"/>
    <mergeCell ref="A75:F75"/>
    <mergeCell ref="I75:J75"/>
    <mergeCell ref="I76:J76"/>
    <mergeCell ref="I77:J77"/>
    <mergeCell ref="I78:J78"/>
    <mergeCell ref="A65:J65"/>
    <mergeCell ref="A67:I67"/>
    <mergeCell ref="A69:E69"/>
    <mergeCell ref="I69:J69"/>
    <mergeCell ref="C70:F70"/>
    <mergeCell ref="C71:F71"/>
    <mergeCell ref="D95:E95"/>
    <mergeCell ref="B97:C97"/>
    <mergeCell ref="F97:G97"/>
    <mergeCell ref="F98:G98"/>
    <mergeCell ref="B100:D100"/>
    <mergeCell ref="F100:G100"/>
    <mergeCell ref="A79:J79"/>
    <mergeCell ref="A82:I82"/>
    <mergeCell ref="A84:H84"/>
    <mergeCell ref="A85:J85"/>
    <mergeCell ref="A89:J89"/>
    <mergeCell ref="A90:J90"/>
    <mergeCell ref="L109:M109"/>
    <mergeCell ref="P109:Q109"/>
    <mergeCell ref="F110:G110"/>
    <mergeCell ref="P110:Q110"/>
    <mergeCell ref="B112:D112"/>
    <mergeCell ref="F112:G112"/>
    <mergeCell ref="L112:N112"/>
    <mergeCell ref="P112:Q112"/>
    <mergeCell ref="B101:D101"/>
    <mergeCell ref="B102:D102"/>
    <mergeCell ref="B103:C103"/>
    <mergeCell ref="B104:D104"/>
    <mergeCell ref="F104:G104"/>
    <mergeCell ref="B109:C109"/>
    <mergeCell ref="F109:G109"/>
    <mergeCell ref="B116:D116"/>
    <mergeCell ref="F116:G116"/>
    <mergeCell ref="L116:N116"/>
    <mergeCell ref="P116:Q116"/>
    <mergeCell ref="B122:C125"/>
    <mergeCell ref="B143:C146"/>
    <mergeCell ref="B113:D113"/>
    <mergeCell ref="L113:N113"/>
    <mergeCell ref="B114:D114"/>
    <mergeCell ref="L114:N114"/>
    <mergeCell ref="B115:C115"/>
    <mergeCell ref="L115:M115"/>
  </mergeCells>
  <conditionalFormatting sqref="P19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{B23FC9BC-1E52-4B73-A61A-467B0C8E3AD0}</x14:id>
        </ext>
      </extLst>
    </cfRule>
  </conditionalFormatting>
  <dataValidations disablePrompts="1" count="3">
    <dataValidation type="list" allowBlank="1" showInputMessage="1" showErrorMessage="1" sqref="E15:F15">
      <formula1>"0,1,2,3,4,5,6,7,8,9,10,11,12,13,14,15"</formula1>
    </dataValidation>
    <dataValidation type="list" allowBlank="1" showInputMessage="1" showErrorMessage="1" sqref="L51">
      <formula1>"LINEAR, MÉTODO COLE"</formula1>
    </dataValidation>
    <dataValidation type="list" allowBlank="1" showInputMessage="1" showErrorMessage="1" sqref="F7:H7 T17:V17">
      <formula1>$Q$119:$Q$122</formula1>
    </dataValidation>
  </dataValidations>
  <pageMargins left="0.51181102362204722" right="0.51181102362204722" top="0.78740157480314965" bottom="0.78740157480314965" header="0.31496062992125984" footer="0.31496062992125984"/>
  <pageSetup paperSize="9" scale="50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23FC9BC-1E52-4B73-A61A-467B0C8E3AD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P19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5">
    <tabColor rgb="FF0070C0"/>
  </sheetPr>
  <dimension ref="A2:V160"/>
  <sheetViews>
    <sheetView tabSelected="1" view="pageBreakPreview" topLeftCell="A45" zoomScale="85" zoomScaleNormal="100" zoomScaleSheetLayoutView="85" workbookViewId="0">
      <selection activeCell="A57" sqref="A57"/>
    </sheetView>
  </sheetViews>
  <sheetFormatPr defaultColWidth="8.85546875" defaultRowHeight="15" x14ac:dyDescent="0.25"/>
  <cols>
    <col min="2" max="2" width="14.140625" customWidth="1"/>
    <col min="3" max="3" width="15.28515625" customWidth="1"/>
    <col min="5" max="5" width="12.42578125" customWidth="1"/>
    <col min="6" max="6" width="13.5703125" customWidth="1"/>
    <col min="7" max="7" width="12.140625" customWidth="1"/>
    <col min="9" max="9" width="10.7109375" customWidth="1"/>
    <col min="10" max="10" width="12.140625" bestFit="1" customWidth="1"/>
    <col min="11" max="11" width="16.42578125" bestFit="1" customWidth="1"/>
    <col min="12" max="12" width="14.42578125" customWidth="1"/>
    <col min="14" max="14" width="6.42578125" customWidth="1"/>
    <col min="15" max="15" width="9" customWidth="1"/>
    <col min="16" max="16" width="10.42578125" customWidth="1"/>
    <col min="17" max="17" width="15.140625" customWidth="1"/>
    <col min="18" max="18" width="14.7109375" bestFit="1" customWidth="1"/>
    <col min="19" max="19" width="19.42578125" bestFit="1" customWidth="1"/>
  </cols>
  <sheetData>
    <row r="2" spans="1:19" x14ac:dyDescent="0.25">
      <c r="C2" s="239" t="s">
        <v>151</v>
      </c>
      <c r="D2" s="240"/>
      <c r="E2" s="240"/>
      <c r="F2" s="240"/>
    </row>
    <row r="3" spans="1:19" x14ac:dyDescent="0.25">
      <c r="C3" s="240"/>
      <c r="D3" s="240"/>
      <c r="E3" s="240"/>
      <c r="F3" s="240"/>
      <c r="H3" s="241" t="s">
        <v>64</v>
      </c>
      <c r="I3" s="239"/>
      <c r="J3" s="239"/>
      <c r="K3" s="239"/>
      <c r="L3" s="239"/>
      <c r="M3" s="239"/>
      <c r="N3" s="239"/>
      <c r="O3" s="239"/>
      <c r="P3" s="239"/>
    </row>
    <row r="4" spans="1:19" x14ac:dyDescent="0.25">
      <c r="C4" s="240"/>
      <c r="D4" s="240"/>
      <c r="E4" s="240"/>
      <c r="F4" s="240"/>
      <c r="H4" s="239"/>
      <c r="I4" s="239"/>
      <c r="J4" s="239"/>
      <c r="K4" s="239"/>
      <c r="L4" s="239"/>
      <c r="M4" s="239"/>
      <c r="N4" s="239"/>
      <c r="O4" s="239"/>
      <c r="P4" s="239"/>
    </row>
    <row r="5" spans="1:19" x14ac:dyDescent="0.25">
      <c r="C5" s="240"/>
      <c r="D5" s="240"/>
      <c r="E5" s="240"/>
      <c r="F5" s="240"/>
      <c r="H5" s="239"/>
      <c r="I5" s="239"/>
      <c r="J5" s="239"/>
      <c r="K5" s="239"/>
      <c r="L5" s="239"/>
      <c r="M5" s="239"/>
      <c r="N5" s="239"/>
      <c r="O5" s="239"/>
      <c r="P5" s="239"/>
    </row>
    <row r="6" spans="1:19" x14ac:dyDescent="0.25">
      <c r="C6" s="240"/>
      <c r="D6" s="240"/>
      <c r="E6" s="240"/>
      <c r="F6" s="240"/>
    </row>
    <row r="7" spans="1:19" ht="21" x14ac:dyDescent="0.35">
      <c r="E7" s="18" t="s">
        <v>80</v>
      </c>
      <c r="F7" s="235" t="s">
        <v>65</v>
      </c>
      <c r="G7" s="235"/>
      <c r="H7" s="235"/>
      <c r="K7" s="242" t="s">
        <v>286</v>
      </c>
      <c r="L7" s="243"/>
      <c r="M7" s="243"/>
      <c r="N7" s="243"/>
    </row>
    <row r="8" spans="1:19" ht="15.75" x14ac:dyDescent="0.25">
      <c r="B8" s="194"/>
      <c r="C8" s="194"/>
      <c r="D8" s="8"/>
      <c r="E8" s="8"/>
      <c r="F8" s="8"/>
      <c r="J8" s="9"/>
    </row>
    <row r="9" spans="1:19" ht="21" x14ac:dyDescent="0.35">
      <c r="A9" s="235" t="s">
        <v>352</v>
      </c>
      <c r="B9" s="235"/>
      <c r="C9" s="235"/>
      <c r="D9" s="235"/>
      <c r="E9" s="235"/>
      <c r="F9" s="235"/>
      <c r="I9" s="244" t="s">
        <v>157</v>
      </c>
      <c r="J9" s="244"/>
      <c r="K9" s="244"/>
      <c r="L9" s="244"/>
      <c r="M9" s="244"/>
      <c r="N9" s="244"/>
      <c r="O9" s="244"/>
      <c r="P9" s="244"/>
      <c r="R9" s="9" t="s">
        <v>155</v>
      </c>
      <c r="S9" s="9" t="s">
        <v>156</v>
      </c>
    </row>
    <row r="10" spans="1:19" x14ac:dyDescent="0.25">
      <c r="R10" s="2">
        <f>K43</f>
        <v>3336.4064327793221</v>
      </c>
      <c r="S10" s="43">
        <f>K45</f>
        <v>6993.0916869577277</v>
      </c>
    </row>
    <row r="11" spans="1:19" ht="17.25" x14ac:dyDescent="0.3">
      <c r="A11" s="236" t="s">
        <v>150</v>
      </c>
      <c r="B11" s="237"/>
      <c r="C11" s="237"/>
      <c r="D11" s="237"/>
      <c r="E11" s="237"/>
      <c r="F11" s="238"/>
      <c r="G11" s="40" t="s">
        <v>0</v>
      </c>
      <c r="K11" s="206" t="s">
        <v>15</v>
      </c>
      <c r="L11" s="206"/>
      <c r="M11" s="206"/>
      <c r="N11" s="206"/>
      <c r="O11" s="161">
        <f>O12+O13</f>
        <v>92.960000000000008</v>
      </c>
      <c r="P11" s="47" t="s">
        <v>14</v>
      </c>
      <c r="R11" s="130">
        <f>K65/O18*O14</f>
        <v>6785.2162917551623</v>
      </c>
      <c r="S11" s="130">
        <f>K65/O18*O16</f>
        <v>12351.728686447505</v>
      </c>
    </row>
    <row r="12" spans="1:19" ht="15.75" x14ac:dyDescent="0.25">
      <c r="A12" s="214" t="s">
        <v>107</v>
      </c>
      <c r="B12" s="215"/>
      <c r="C12" s="215"/>
      <c r="D12" s="48"/>
      <c r="E12" s="218">
        <f>Insumos!$B$4</f>
        <v>531068.38</v>
      </c>
      <c r="F12" s="218"/>
      <c r="G12" s="1"/>
      <c r="K12" s="206" t="s">
        <v>136</v>
      </c>
      <c r="L12" s="206"/>
      <c r="M12" s="206"/>
      <c r="N12" s="206"/>
      <c r="O12" s="150">
        <v>32.96</v>
      </c>
      <c r="P12" s="47" t="s">
        <v>14</v>
      </c>
      <c r="R12" s="2">
        <f>K72/O18*O14</f>
        <v>706.93009568067566</v>
      </c>
      <c r="S12" s="2">
        <f>K72/O18*O16</f>
        <v>1286.8873100983176</v>
      </c>
    </row>
    <row r="13" spans="1:19" ht="15.75" x14ac:dyDescent="0.25">
      <c r="A13" s="214" t="s">
        <v>285</v>
      </c>
      <c r="B13" s="215"/>
      <c r="C13" s="215"/>
      <c r="D13" s="216"/>
      <c r="E13" s="198">
        <f>'DEPRECIAÇÃO LINEAR'!D15</f>
        <v>10</v>
      </c>
      <c r="F13" s="198"/>
      <c r="K13" s="206" t="s">
        <v>137</v>
      </c>
      <c r="L13" s="206"/>
      <c r="M13" s="206"/>
      <c r="N13" s="206"/>
      <c r="O13" s="150">
        <v>60</v>
      </c>
      <c r="P13" s="47" t="s">
        <v>14</v>
      </c>
      <c r="R13" s="2">
        <f>K79/O18*O14</f>
        <v>1056.2359820059287</v>
      </c>
      <c r="S13" s="2">
        <f>K79/O18*O16</f>
        <v>1922.7596759816665</v>
      </c>
    </row>
    <row r="14" spans="1:19" ht="15" customHeight="1" x14ac:dyDescent="0.25">
      <c r="A14" s="214" t="s">
        <v>23</v>
      </c>
      <c r="B14" s="215"/>
      <c r="C14" s="215"/>
      <c r="D14" s="216"/>
      <c r="E14" s="219">
        <v>2026</v>
      </c>
      <c r="F14" s="220"/>
      <c r="K14" s="223" t="s">
        <v>138</v>
      </c>
      <c r="L14" s="223"/>
      <c r="M14" s="223"/>
      <c r="N14" s="223"/>
      <c r="O14" s="232">
        <f>O12*21</f>
        <v>692.16</v>
      </c>
      <c r="P14" s="234" t="s">
        <v>14</v>
      </c>
      <c r="R14" s="2">
        <f>SUM(R10:R13)</f>
        <v>11884.78880222109</v>
      </c>
      <c r="S14" s="2">
        <f>SUM(S10:S13)</f>
        <v>22554.467359485217</v>
      </c>
    </row>
    <row r="15" spans="1:19" ht="15.75" customHeight="1" x14ac:dyDescent="0.25">
      <c r="A15" s="49" t="s">
        <v>79</v>
      </c>
      <c r="B15" s="48"/>
      <c r="C15" s="48"/>
      <c r="D15" s="48"/>
      <c r="E15" s="198">
        <v>0</v>
      </c>
      <c r="F15" s="198"/>
      <c r="G15" s="41" t="s">
        <v>128</v>
      </c>
      <c r="I15" s="28"/>
      <c r="J15" s="28"/>
      <c r="K15" s="223"/>
      <c r="L15" s="223"/>
      <c r="M15" s="223"/>
      <c r="N15" s="223"/>
      <c r="O15" s="233"/>
      <c r="P15" s="234"/>
      <c r="R15" s="31">
        <f>IFERROR(R14/O14,0)</f>
        <v>17.17058021587652</v>
      </c>
      <c r="S15" s="31">
        <f>IFERROR(S14/O16,0)</f>
        <v>17.900370920226361</v>
      </c>
    </row>
    <row r="16" spans="1:19" ht="15" customHeight="1" x14ac:dyDescent="0.25">
      <c r="A16" s="214" t="s">
        <v>84</v>
      </c>
      <c r="B16" s="215"/>
      <c r="C16" s="215"/>
      <c r="D16" s="215"/>
      <c r="E16" s="198" t="str">
        <f>IF($F$7=$D$95,F104,IF($F$7=$D$107,F116,IF($F$7=$N$95,Q104,IF($F$7=$O$107,P116,""))))</f>
        <v>ATÉ 59 ALUNOS</v>
      </c>
      <c r="F16" s="198"/>
      <c r="I16" s="28"/>
      <c r="J16" s="28"/>
      <c r="K16" s="223" t="s">
        <v>139</v>
      </c>
      <c r="L16" s="223"/>
      <c r="M16" s="223"/>
      <c r="N16" s="223"/>
      <c r="O16" s="232">
        <f>O13*21</f>
        <v>1260</v>
      </c>
      <c r="P16" s="234" t="s">
        <v>14</v>
      </c>
    </row>
    <row r="17" spans="1:22" ht="15" customHeight="1" x14ac:dyDescent="0.35">
      <c r="I17" s="28"/>
      <c r="J17" s="28"/>
      <c r="K17" s="223"/>
      <c r="L17" s="223"/>
      <c r="M17" s="223"/>
      <c r="N17" s="223"/>
      <c r="O17" s="233"/>
      <c r="P17" s="234"/>
      <c r="R17" s="2">
        <f>R14+S14</f>
        <v>34439.256161706304</v>
      </c>
      <c r="T17" s="235"/>
      <c r="U17" s="235"/>
      <c r="V17" s="235"/>
    </row>
    <row r="18" spans="1:22" ht="15" customHeight="1" x14ac:dyDescent="0.25">
      <c r="I18" s="28"/>
      <c r="J18" s="28"/>
      <c r="K18" s="223" t="s">
        <v>140</v>
      </c>
      <c r="L18" s="223"/>
      <c r="M18" s="223"/>
      <c r="N18" s="223"/>
      <c r="O18" s="46">
        <f>O16+O14</f>
        <v>1952.1599999999999</v>
      </c>
      <c r="P18" s="47" t="s">
        <v>14</v>
      </c>
      <c r="R18" s="2">
        <f>R17/O18</f>
        <v>17.64161552419182</v>
      </c>
    </row>
    <row r="19" spans="1:22" ht="15.75" customHeight="1" x14ac:dyDescent="0.3">
      <c r="A19" s="224" t="s">
        <v>1</v>
      </c>
      <c r="B19" s="225"/>
      <c r="C19" s="225"/>
      <c r="D19" s="225"/>
      <c r="E19" s="225"/>
      <c r="F19" s="225"/>
      <c r="I19" s="29"/>
      <c r="J19" s="29"/>
      <c r="K19" s="29"/>
      <c r="L19" s="29"/>
      <c r="M19" s="29"/>
    </row>
    <row r="20" spans="1:22" ht="15" customHeight="1" thickBot="1" x14ac:dyDescent="0.3">
      <c r="A20" s="206" t="s">
        <v>106</v>
      </c>
      <c r="B20" s="206"/>
      <c r="C20" s="206"/>
      <c r="D20" s="206"/>
      <c r="E20" s="206"/>
      <c r="F20" s="206"/>
      <c r="I20" s="28"/>
      <c r="J20" s="28"/>
      <c r="K20" s="28"/>
      <c r="L20" s="28"/>
      <c r="M20" s="28"/>
      <c r="O20" s="93">
        <f>K90</f>
        <v>17.64161552419182</v>
      </c>
      <c r="R20" s="93">
        <f>K90</f>
        <v>17.64161552419182</v>
      </c>
    </row>
    <row r="21" spans="1:22" x14ac:dyDescent="0.25">
      <c r="H21" s="245" t="s">
        <v>297</v>
      </c>
      <c r="I21" s="246"/>
      <c r="J21" s="246"/>
      <c r="K21" s="246"/>
      <c r="L21" s="246"/>
      <c r="M21" s="246"/>
      <c r="N21" s="247"/>
      <c r="O21" s="2"/>
    </row>
    <row r="22" spans="1:22" ht="15.75" thickBot="1" x14ac:dyDescent="0.3">
      <c r="H22" s="248"/>
      <c r="I22" s="249"/>
      <c r="J22" s="249"/>
      <c r="K22" s="249"/>
      <c r="L22" s="249"/>
      <c r="M22" s="249"/>
      <c r="N22" s="250"/>
    </row>
    <row r="23" spans="1:22" ht="17.25" x14ac:dyDescent="0.3">
      <c r="A23" s="224" t="s">
        <v>2</v>
      </c>
      <c r="B23" s="225"/>
      <c r="C23" s="225"/>
      <c r="D23" s="225"/>
      <c r="E23" s="225"/>
      <c r="F23" s="225"/>
      <c r="L23" s="2"/>
    </row>
    <row r="24" spans="1:22" ht="15.75" x14ac:dyDescent="0.25">
      <c r="A24" s="214" t="s">
        <v>11</v>
      </c>
      <c r="B24" s="215"/>
      <c r="C24" s="215"/>
      <c r="D24" s="215"/>
      <c r="E24" s="198">
        <f>IF($F$7=$D$95,F100,IF($F$7=$D$107,F112,IF($F$7=$N$95,Q100,IF($F$7=$O$107,P112,""))))</f>
        <v>6</v>
      </c>
      <c r="F24" s="198"/>
    </row>
    <row r="25" spans="1:22" ht="15.75" x14ac:dyDescent="0.25">
      <c r="A25" s="214" t="s">
        <v>9</v>
      </c>
      <c r="B25" s="215"/>
      <c r="C25" s="215"/>
      <c r="D25" s="216"/>
      <c r="E25" s="218">
        <f>Insumos!$B$5</f>
        <v>2453.2399999999998</v>
      </c>
      <c r="F25" s="218"/>
    </row>
    <row r="26" spans="1:22" ht="15.75" x14ac:dyDescent="0.25">
      <c r="A26" s="214" t="s">
        <v>147</v>
      </c>
      <c r="B26" s="215"/>
      <c r="C26" s="215"/>
      <c r="D26" s="216"/>
      <c r="E26" s="219">
        <v>2</v>
      </c>
      <c r="F26" s="220"/>
    </row>
    <row r="27" spans="1:22" ht="15.75" x14ac:dyDescent="0.25">
      <c r="A27" s="214" t="s">
        <v>148</v>
      </c>
      <c r="B27" s="215"/>
      <c r="C27" s="215"/>
      <c r="D27" s="216"/>
      <c r="E27" s="221">
        <f>Insumos!$B$6</f>
        <v>975.83</v>
      </c>
      <c r="F27" s="222"/>
    </row>
    <row r="28" spans="1:22" ht="15.75" x14ac:dyDescent="0.25">
      <c r="A28" s="214" t="s">
        <v>149</v>
      </c>
      <c r="B28" s="215"/>
      <c r="C28" s="215"/>
      <c r="D28" s="216"/>
      <c r="E28" s="217">
        <v>100000</v>
      </c>
      <c r="F28" s="217"/>
    </row>
    <row r="31" spans="1:22" ht="15.75" x14ac:dyDescent="0.25">
      <c r="A31" s="191" t="s">
        <v>3</v>
      </c>
      <c r="B31" s="192"/>
      <c r="C31" s="192"/>
      <c r="D31" s="192"/>
      <c r="E31" s="192"/>
      <c r="F31" s="192"/>
    </row>
    <row r="32" spans="1:22" ht="15.75" x14ac:dyDescent="0.25">
      <c r="A32" s="214" t="s">
        <v>19</v>
      </c>
      <c r="B32" s="215"/>
      <c r="C32" s="215"/>
      <c r="D32" s="216"/>
      <c r="E32" s="218">
        <f>Insumos!$B$7</f>
        <v>7.6</v>
      </c>
      <c r="F32" s="218"/>
    </row>
    <row r="33" spans="1:14" ht="15.75" x14ac:dyDescent="0.25">
      <c r="A33" s="214" t="s">
        <v>17</v>
      </c>
      <c r="B33" s="215"/>
      <c r="C33" s="215"/>
      <c r="D33" s="216"/>
      <c r="E33" s="46">
        <f>IF($F$7=$D$95,G103,IF($F$7=$D$107,G115,IF($F$7=$N$95,Q103,IF($F$7=$O$107,Q115,""))))</f>
        <v>2.6</v>
      </c>
      <c r="F33" s="50" t="s">
        <v>18</v>
      </c>
    </row>
    <row r="36" spans="1:14" ht="17.25" x14ac:dyDescent="0.3">
      <c r="A36" s="208" t="s">
        <v>20</v>
      </c>
      <c r="B36" s="209"/>
      <c r="C36" s="209"/>
      <c r="D36" s="209"/>
      <c r="E36" s="209"/>
    </row>
    <row r="37" spans="1:14" x14ac:dyDescent="0.25">
      <c r="B37" s="210"/>
      <c r="C37" s="210"/>
      <c r="D37" s="211"/>
      <c r="E37" s="212" t="s">
        <v>4</v>
      </c>
      <c r="F37" s="213"/>
    </row>
    <row r="38" spans="1:14" ht="15.75" x14ac:dyDescent="0.25">
      <c r="A38" s="46" t="s">
        <v>346</v>
      </c>
      <c r="B38" s="214" t="s">
        <v>52</v>
      </c>
      <c r="C38" s="215"/>
      <c r="D38" s="216"/>
      <c r="E38" s="46">
        <f>1/E33</f>
        <v>0.38461538461538458</v>
      </c>
      <c r="F38" s="7" t="s">
        <v>5</v>
      </c>
      <c r="G38" s="7"/>
      <c r="H38" s="7"/>
      <c r="I38" s="7"/>
      <c r="J38" s="7"/>
      <c r="K38" s="58">
        <f>E32*E38</f>
        <v>2.9230769230769225</v>
      </c>
      <c r="L38" s="51" t="s">
        <v>13</v>
      </c>
      <c r="N38" s="2"/>
    </row>
    <row r="39" spans="1:14" ht="15.75" x14ac:dyDescent="0.25">
      <c r="A39" s="46" t="s">
        <v>6</v>
      </c>
      <c r="B39" s="206" t="s">
        <v>152</v>
      </c>
      <c r="C39" s="206"/>
      <c r="D39" s="206"/>
      <c r="E39" s="46">
        <v>0.04</v>
      </c>
      <c r="F39" s="7" t="s">
        <v>5</v>
      </c>
      <c r="G39" s="7"/>
      <c r="H39" s="7"/>
      <c r="I39" s="7"/>
      <c r="J39" s="7"/>
      <c r="K39" s="58">
        <f>E39*E32</f>
        <v>0.30399999999999999</v>
      </c>
      <c r="L39" s="51" t="s">
        <v>13</v>
      </c>
    </row>
    <row r="40" spans="1:14" ht="15.75" x14ac:dyDescent="0.25">
      <c r="A40" s="46" t="s">
        <v>7</v>
      </c>
      <c r="B40" s="206" t="s">
        <v>8</v>
      </c>
      <c r="C40" s="206"/>
      <c r="D40" s="206"/>
      <c r="E40" s="46"/>
      <c r="F40" s="7"/>
      <c r="G40" s="7"/>
      <c r="H40" s="7"/>
      <c r="I40" s="7"/>
      <c r="J40" s="7"/>
      <c r="K40" s="58">
        <f>((E25*E24)+(E26*E24*E27))/E28</f>
        <v>0.26429400000000003</v>
      </c>
      <c r="L40" s="51" t="s">
        <v>13</v>
      </c>
    </row>
    <row r="41" spans="1:14" ht="15.75" x14ac:dyDescent="0.25">
      <c r="A41" s="46" t="s">
        <v>12</v>
      </c>
      <c r="B41" s="206" t="s">
        <v>153</v>
      </c>
      <c r="C41" s="206"/>
      <c r="D41" s="206"/>
      <c r="E41" s="70">
        <v>3.0000000000000001E-6</v>
      </c>
      <c r="F41" s="193" t="s">
        <v>10</v>
      </c>
      <c r="G41" s="193"/>
      <c r="H41" s="193"/>
      <c r="I41" s="7"/>
      <c r="J41" s="7"/>
      <c r="K41" s="58">
        <f>(E41*E12)-(K40)</f>
        <v>1.32891114</v>
      </c>
      <c r="L41" s="51" t="s">
        <v>13</v>
      </c>
    </row>
    <row r="42" spans="1:14" ht="15.75" x14ac:dyDescent="0.25">
      <c r="A42" s="207"/>
      <c r="B42" s="207"/>
      <c r="C42" s="207"/>
      <c r="D42" s="207"/>
      <c r="E42" s="207"/>
      <c r="F42" s="7"/>
      <c r="G42" s="7"/>
      <c r="H42" s="7"/>
      <c r="I42" s="7"/>
      <c r="J42" s="7"/>
      <c r="K42" s="58">
        <f>SUM(K38:K41)</f>
        <v>4.8202820630769221</v>
      </c>
      <c r="L42" s="51" t="s">
        <v>13</v>
      </c>
    </row>
    <row r="43" spans="1:14" ht="21" customHeight="1" x14ac:dyDescent="0.25">
      <c r="A43" s="200" t="s">
        <v>144</v>
      </c>
      <c r="B43" s="200"/>
      <c r="C43" s="200"/>
      <c r="D43" s="200"/>
      <c r="E43" s="200"/>
      <c r="F43" s="200"/>
      <c r="G43" s="200"/>
      <c r="H43" s="200"/>
      <c r="I43" s="200"/>
      <c r="J43" s="200"/>
      <c r="K43" s="68">
        <f>K42*O14</f>
        <v>3336.4064327793221</v>
      </c>
      <c r="L43" s="52" t="s">
        <v>16</v>
      </c>
    </row>
    <row r="45" spans="1:14" ht="18.75" x14ac:dyDescent="0.3">
      <c r="A45" s="190" t="s">
        <v>145</v>
      </c>
      <c r="B45" s="190"/>
      <c r="C45" s="190"/>
      <c r="D45" s="190"/>
      <c r="E45" s="190"/>
      <c r="F45" s="190"/>
      <c r="G45" s="190"/>
      <c r="H45" s="190"/>
      <c r="I45" s="190"/>
      <c r="J45" s="190"/>
      <c r="K45" s="65">
        <f>K42*O16*1.1514</f>
        <v>6993.0916869577277</v>
      </c>
      <c r="L45" s="53" t="s">
        <v>16</v>
      </c>
    </row>
    <row r="46" spans="1:14" ht="15.75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</row>
    <row r="47" spans="1:14" ht="18.75" x14ac:dyDescent="0.3">
      <c r="A47" s="190" t="s">
        <v>146</v>
      </c>
      <c r="B47" s="190"/>
      <c r="C47" s="190"/>
      <c r="D47" s="190"/>
      <c r="E47" s="190"/>
      <c r="F47" s="190"/>
      <c r="G47" s="190"/>
      <c r="H47" s="190"/>
      <c r="I47" s="190"/>
      <c r="J47" s="190"/>
      <c r="K47" s="65">
        <f>K43+K45</f>
        <v>10329.498119737051</v>
      </c>
      <c r="L47" s="54" t="s">
        <v>16</v>
      </c>
    </row>
    <row r="49" spans="1:12" ht="15.75" x14ac:dyDescent="0.25">
      <c r="A49" s="197" t="s">
        <v>21</v>
      </c>
      <c r="B49" s="204"/>
      <c r="C49" s="204"/>
      <c r="D49" s="204"/>
      <c r="E49" s="204"/>
      <c r="F49" s="7"/>
      <c r="G49" s="7"/>
      <c r="H49" s="7"/>
      <c r="I49" s="7"/>
      <c r="J49" s="7"/>
      <c r="K49" s="7"/>
      <c r="L49" s="7"/>
    </row>
    <row r="50" spans="1:12" ht="15.75" x14ac:dyDescent="0.25">
      <c r="A50" s="3"/>
      <c r="B50" s="45"/>
      <c r="C50" s="45"/>
      <c r="D50" s="45"/>
      <c r="E50" s="45"/>
      <c r="F50" s="7"/>
      <c r="G50" s="7"/>
      <c r="H50" s="205" t="s">
        <v>25</v>
      </c>
      <c r="I50" s="205"/>
      <c r="J50" s="7"/>
      <c r="K50" s="7"/>
      <c r="L50" s="7"/>
    </row>
    <row r="51" spans="1:12" ht="15.75" x14ac:dyDescent="0.25">
      <c r="A51" s="7" t="s">
        <v>22</v>
      </c>
      <c r="B51" s="7"/>
      <c r="C51" s="193" t="s">
        <v>24</v>
      </c>
      <c r="D51" s="193"/>
      <c r="E51" s="193"/>
      <c r="F51" s="193"/>
      <c r="G51" s="7"/>
      <c r="H51" s="195"/>
      <c r="I51" s="195"/>
      <c r="J51" s="58"/>
      <c r="K51" s="59">
        <f>IF(L51="LINEAR",'DEPRECIAÇÃO LINEAR'!H23,(VLOOKUP(E15,'DEPRECIAÇÃO LINEAR'!W12:AM25,17,0)))</f>
        <v>3983.0128500000005</v>
      </c>
      <c r="L51" s="55" t="s">
        <v>130</v>
      </c>
    </row>
    <row r="52" spans="1:12" ht="15.75" x14ac:dyDescent="0.25">
      <c r="A52" s="7" t="s">
        <v>26</v>
      </c>
      <c r="B52" s="7"/>
      <c r="C52" s="193" t="s">
        <v>27</v>
      </c>
      <c r="D52" s="193"/>
      <c r="E52" s="193"/>
      <c r="F52" s="193"/>
      <c r="G52" s="7"/>
      <c r="H52" s="7"/>
      <c r="I52" s="7"/>
      <c r="J52" s="58"/>
      <c r="K52" s="58"/>
      <c r="L52" s="7"/>
    </row>
    <row r="53" spans="1:12" ht="15.75" x14ac:dyDescent="0.25">
      <c r="A53" s="7"/>
      <c r="B53" s="7" t="s">
        <v>31</v>
      </c>
      <c r="C53" s="193" t="s">
        <v>28</v>
      </c>
      <c r="D53" s="193"/>
      <c r="E53" s="193"/>
      <c r="F53" s="193"/>
      <c r="G53" s="7"/>
      <c r="H53" s="7"/>
      <c r="I53" s="7"/>
      <c r="J53" s="58"/>
      <c r="K53" s="58">
        <f>'Motorista de Veiculo Pesado'!E90</f>
        <v>8468.4608078400015</v>
      </c>
      <c r="L53" s="7"/>
    </row>
    <row r="54" spans="1:12" ht="15.75" x14ac:dyDescent="0.25">
      <c r="A54" s="7"/>
      <c r="B54" s="7" t="s">
        <v>32</v>
      </c>
      <c r="C54" s="193" t="s">
        <v>29</v>
      </c>
      <c r="D54" s="193"/>
      <c r="E54" s="193"/>
      <c r="F54" s="193"/>
      <c r="G54" s="7"/>
      <c r="H54" s="7"/>
      <c r="I54" s="7"/>
      <c r="J54" s="58"/>
      <c r="K54" s="58">
        <f>'Monitor de Transporte Escolar'!E90</f>
        <v>4485.726463695999</v>
      </c>
      <c r="L54" s="7"/>
    </row>
    <row r="55" spans="1:12" ht="15.75" x14ac:dyDescent="0.25">
      <c r="A55" s="7" t="s">
        <v>30</v>
      </c>
      <c r="B55" s="7"/>
      <c r="C55" s="193" t="s">
        <v>34</v>
      </c>
      <c r="D55" s="193"/>
      <c r="E55" s="193"/>
      <c r="F55" s="193"/>
      <c r="G55" s="7"/>
      <c r="H55" s="7"/>
      <c r="I55" s="7"/>
      <c r="J55" s="58"/>
      <c r="K55" s="58"/>
      <c r="L55" s="56"/>
    </row>
    <row r="56" spans="1:12" ht="15.75" x14ac:dyDescent="0.25">
      <c r="A56" s="7"/>
      <c r="B56" s="7" t="s">
        <v>33</v>
      </c>
      <c r="C56" s="7" t="s">
        <v>35</v>
      </c>
      <c r="D56" s="7"/>
      <c r="E56" s="7"/>
      <c r="F56" s="7"/>
      <c r="G56" s="7"/>
      <c r="H56" s="7"/>
      <c r="I56" s="7"/>
      <c r="J56" s="58">
        <f>1/100*E12</f>
        <v>5310.6837999999998</v>
      </c>
      <c r="K56" s="58">
        <f>J56/12</f>
        <v>442.55698333333333</v>
      </c>
      <c r="L56" s="7"/>
    </row>
    <row r="57" spans="1:12" ht="15.75" x14ac:dyDescent="0.25">
      <c r="A57" s="7"/>
      <c r="B57" s="7" t="s">
        <v>36</v>
      </c>
      <c r="C57" s="7" t="s">
        <v>37</v>
      </c>
      <c r="D57" s="7"/>
      <c r="E57" s="7"/>
      <c r="F57" s="7"/>
      <c r="G57" s="7"/>
      <c r="H57" s="7"/>
      <c r="I57" s="7"/>
      <c r="J57" s="58">
        <v>230.25</v>
      </c>
      <c r="K57" s="58">
        <f>J57/12</f>
        <v>19.1875</v>
      </c>
      <c r="L57" s="7"/>
    </row>
    <row r="58" spans="1:12" ht="15.75" x14ac:dyDescent="0.25">
      <c r="A58" s="7"/>
      <c r="B58" s="7" t="s">
        <v>38</v>
      </c>
      <c r="C58" s="193" t="s">
        <v>39</v>
      </c>
      <c r="D58" s="193"/>
      <c r="E58" s="193"/>
      <c r="F58" s="193"/>
      <c r="G58" s="7"/>
      <c r="H58" s="7"/>
      <c r="I58" s="7"/>
      <c r="J58" s="58">
        <v>161.80000000000001</v>
      </c>
      <c r="K58" s="58">
        <f>J58/12</f>
        <v>13.483333333333334</v>
      </c>
      <c r="L58" s="7"/>
    </row>
    <row r="59" spans="1:12" ht="15.75" x14ac:dyDescent="0.25">
      <c r="A59" s="7" t="s">
        <v>41</v>
      </c>
      <c r="B59" s="7"/>
      <c r="C59" s="7" t="s">
        <v>40</v>
      </c>
      <c r="D59" s="7"/>
      <c r="E59" s="7"/>
      <c r="F59" s="7"/>
      <c r="G59" s="7"/>
      <c r="H59" s="7"/>
      <c r="I59" s="7"/>
      <c r="J59" s="58">
        <v>0</v>
      </c>
      <c r="K59" s="58">
        <f>J59/12</f>
        <v>0</v>
      </c>
      <c r="L59" s="7"/>
    </row>
    <row r="60" spans="1:12" ht="15.75" x14ac:dyDescent="0.25">
      <c r="A60" s="7" t="s">
        <v>57</v>
      </c>
      <c r="B60" s="7"/>
      <c r="C60" s="193" t="s">
        <v>58</v>
      </c>
      <c r="D60" s="193"/>
      <c r="E60" s="193"/>
      <c r="F60" s="193"/>
      <c r="G60" s="193"/>
      <c r="H60" s="7"/>
      <c r="I60" s="7"/>
      <c r="J60" s="58">
        <f>Insumos!$B$8</f>
        <v>350.88</v>
      </c>
      <c r="K60" s="58">
        <f>4*J60</f>
        <v>1403.52</v>
      </c>
      <c r="L60" s="7"/>
    </row>
    <row r="61" spans="1:12" ht="15.75" x14ac:dyDescent="0.25">
      <c r="A61" s="7" t="s">
        <v>60</v>
      </c>
      <c r="B61" s="7"/>
      <c r="C61" s="45" t="s">
        <v>63</v>
      </c>
      <c r="D61" s="45"/>
      <c r="E61" s="45"/>
      <c r="F61" s="45"/>
      <c r="G61" s="45"/>
      <c r="H61" s="7"/>
      <c r="I61" s="7"/>
      <c r="J61" s="58">
        <f>Insumos!$B$9</f>
        <v>2680.95</v>
      </c>
      <c r="K61" s="58">
        <f>J61/12</f>
        <v>223.41249999999999</v>
      </c>
      <c r="L61" s="7"/>
    </row>
    <row r="62" spans="1:12" ht="15.75" x14ac:dyDescent="0.25">
      <c r="A62" s="7" t="s">
        <v>61</v>
      </c>
      <c r="B62" s="7"/>
      <c r="C62" s="193" t="s">
        <v>62</v>
      </c>
      <c r="D62" s="193"/>
      <c r="E62" s="193"/>
      <c r="F62" s="45"/>
      <c r="G62" s="45"/>
      <c r="H62" s="7"/>
      <c r="I62" s="7"/>
      <c r="J62" s="60">
        <f>Insumos!$B$10</f>
        <v>932.23</v>
      </c>
      <c r="K62" s="58">
        <f>J62/12</f>
        <v>77.685833333333335</v>
      </c>
      <c r="L62" s="7"/>
    </row>
    <row r="63" spans="1:12" ht="15.75" x14ac:dyDescent="0.25">
      <c r="A63" s="7" t="s">
        <v>142</v>
      </c>
      <c r="B63" s="7"/>
      <c r="C63" s="203" t="s">
        <v>143</v>
      </c>
      <c r="D63" s="203"/>
      <c r="E63" s="203"/>
      <c r="F63" s="203"/>
      <c r="G63" s="164"/>
      <c r="H63" s="7"/>
      <c r="I63" s="7"/>
      <c r="J63" s="60">
        <f>Insumos!$B$11</f>
        <v>471.82</v>
      </c>
      <c r="K63" s="72">
        <f>J63/24</f>
        <v>19.659166666666668</v>
      </c>
      <c r="L63" s="7"/>
    </row>
    <row r="64" spans="1:12" ht="15.75" x14ac:dyDescent="0.25">
      <c r="A64" s="7" t="s">
        <v>340</v>
      </c>
      <c r="B64" s="7"/>
      <c r="C64" s="165" t="s">
        <v>343</v>
      </c>
      <c r="D64" s="165"/>
      <c r="E64" s="165"/>
      <c r="F64" s="165"/>
      <c r="G64" s="164"/>
      <c r="H64" s="7"/>
      <c r="I64" s="7"/>
      <c r="J64" s="60">
        <f>Insumos!$B$12</f>
        <v>14.372399999999997</v>
      </c>
      <c r="K64" s="72">
        <f>J64/60</f>
        <v>0.23953999999999995</v>
      </c>
      <c r="L64" s="7"/>
    </row>
    <row r="65" spans="1:13" ht="20.25" customHeight="1" x14ac:dyDescent="0.25">
      <c r="A65" s="259" t="s">
        <v>43</v>
      </c>
      <c r="B65" s="260"/>
      <c r="C65" s="260"/>
      <c r="D65" s="260"/>
      <c r="E65" s="260"/>
      <c r="F65" s="260"/>
      <c r="G65" s="260"/>
      <c r="H65" s="260"/>
      <c r="I65" s="260"/>
      <c r="J65" s="261"/>
      <c r="K65" s="67">
        <f>SUM(K51:K64)</f>
        <v>19136.944978202664</v>
      </c>
      <c r="L65" s="57" t="s">
        <v>16</v>
      </c>
      <c r="M65" s="4"/>
    </row>
    <row r="67" spans="1:13" ht="19.5" customHeight="1" x14ac:dyDescent="0.3">
      <c r="A67" s="262" t="s">
        <v>132</v>
      </c>
      <c r="B67" s="263"/>
      <c r="C67" s="263"/>
      <c r="D67" s="263"/>
      <c r="E67" s="263"/>
      <c r="F67" s="263"/>
      <c r="G67" s="263"/>
      <c r="H67" s="263"/>
      <c r="I67" s="264"/>
      <c r="K67" s="66">
        <f>K47+K65</f>
        <v>29466.443097939715</v>
      </c>
    </row>
    <row r="69" spans="1:13" ht="15.75" x14ac:dyDescent="0.25">
      <c r="A69" s="254" t="s">
        <v>133</v>
      </c>
      <c r="B69" s="255"/>
      <c r="C69" s="255"/>
      <c r="D69" s="255"/>
      <c r="E69" s="256"/>
      <c r="I69" s="265" t="s">
        <v>55</v>
      </c>
      <c r="J69" s="266"/>
    </row>
    <row r="70" spans="1:13" ht="15.75" x14ac:dyDescent="0.25">
      <c r="A70" s="7" t="s">
        <v>341</v>
      </c>
      <c r="B70" s="7"/>
      <c r="C70" s="193" t="s">
        <v>54</v>
      </c>
      <c r="D70" s="193"/>
      <c r="E70" s="193"/>
      <c r="F70" s="193"/>
      <c r="G70" s="7"/>
      <c r="H70" s="7"/>
      <c r="I70" s="168">
        <f>Insumos!$B$15</f>
        <v>2.6599999999999999E-2</v>
      </c>
      <c r="J70" s="7"/>
      <c r="K70" s="58">
        <f>I70*K67</f>
        <v>783.80738640519633</v>
      </c>
      <c r="L70" s="7"/>
    </row>
    <row r="71" spans="1:13" ht="15.75" x14ac:dyDescent="0.25">
      <c r="A71" s="7" t="s">
        <v>342</v>
      </c>
      <c r="B71" s="7"/>
      <c r="C71" s="193" t="s">
        <v>59</v>
      </c>
      <c r="D71" s="193"/>
      <c r="E71" s="193"/>
      <c r="F71" s="193"/>
      <c r="G71" s="7"/>
      <c r="H71" s="7"/>
      <c r="I71" s="169">
        <f>Insumos!$B$16</f>
        <v>0.04</v>
      </c>
      <c r="J71" s="7"/>
      <c r="K71" s="58">
        <f>I71*(K67+K70)</f>
        <v>1210.0100193737965</v>
      </c>
      <c r="L71" s="7"/>
    </row>
    <row r="72" spans="1:13" ht="18.75" x14ac:dyDescent="0.3">
      <c r="A72" s="7"/>
      <c r="B72" s="7"/>
      <c r="C72" s="7"/>
      <c r="D72" s="7"/>
      <c r="E72" s="7"/>
      <c r="F72" s="7"/>
      <c r="G72" s="7"/>
      <c r="H72" s="7"/>
      <c r="I72" s="7"/>
      <c r="J72" s="61" t="s">
        <v>131</v>
      </c>
      <c r="K72" s="65">
        <f>SUM(K70:K71)</f>
        <v>1993.8174057789929</v>
      </c>
      <c r="L72" s="54" t="s">
        <v>16</v>
      </c>
    </row>
    <row r="74" spans="1:13" ht="15.75" x14ac:dyDescent="0.25">
      <c r="A74" s="254" t="s">
        <v>134</v>
      </c>
      <c r="B74" s="255"/>
      <c r="C74" s="255"/>
      <c r="D74" s="255"/>
      <c r="E74" s="256"/>
      <c r="F74" s="7"/>
      <c r="G74" s="7"/>
      <c r="H74" s="7"/>
      <c r="I74" s="7"/>
      <c r="J74" s="7"/>
      <c r="K74" s="7"/>
      <c r="L74" s="7"/>
    </row>
    <row r="75" spans="1:13" ht="15.75" x14ac:dyDescent="0.25">
      <c r="A75" s="193" t="s">
        <v>42</v>
      </c>
      <c r="B75" s="193"/>
      <c r="C75" s="193"/>
      <c r="D75" s="193"/>
      <c r="E75" s="193"/>
      <c r="F75" s="193"/>
      <c r="G75" s="7"/>
      <c r="H75" s="7"/>
      <c r="I75" s="219" t="s">
        <v>47</v>
      </c>
      <c r="J75" s="220"/>
      <c r="K75" s="51">
        <f>K67+K72</f>
        <v>31460.26050371871</v>
      </c>
      <c r="L75" s="7"/>
    </row>
    <row r="76" spans="1:13" ht="15.75" x14ac:dyDescent="0.25">
      <c r="A76" s="7" t="s">
        <v>53</v>
      </c>
      <c r="C76" s="7" t="s">
        <v>44</v>
      </c>
      <c r="D76" s="7"/>
      <c r="E76" s="7"/>
      <c r="F76" s="7"/>
      <c r="G76" s="7"/>
      <c r="H76" s="7"/>
      <c r="I76" s="257">
        <f>Insumos!$B$18</f>
        <v>0.05</v>
      </c>
      <c r="J76" s="258"/>
      <c r="K76" s="51">
        <f>$K$75/(1-(SUM($I$76:$J$78)))*I76</f>
        <v>1721.9628080853154</v>
      </c>
      <c r="L76" s="7"/>
    </row>
    <row r="77" spans="1:13" ht="15.75" x14ac:dyDescent="0.25">
      <c r="A77" s="7" t="s">
        <v>344</v>
      </c>
      <c r="C77" s="7" t="s">
        <v>45</v>
      </c>
      <c r="D77" s="7"/>
      <c r="E77" s="7"/>
      <c r="F77" s="7"/>
      <c r="G77" s="7"/>
      <c r="H77" s="7"/>
      <c r="I77" s="257">
        <f>Insumos!$B$19</f>
        <v>6.4999999999999997E-3</v>
      </c>
      <c r="J77" s="258"/>
      <c r="K77" s="51">
        <f>$K$75/(1-(SUM($I$76:$J$78)))*I77</f>
        <v>223.85516505109098</v>
      </c>
      <c r="L77" s="7"/>
    </row>
    <row r="78" spans="1:13" ht="15.75" x14ac:dyDescent="0.25">
      <c r="A78" s="7" t="s">
        <v>345</v>
      </c>
      <c r="C78" s="7" t="s">
        <v>46</v>
      </c>
      <c r="D78" s="7"/>
      <c r="E78" s="7"/>
      <c r="F78" s="7"/>
      <c r="G78" s="7"/>
      <c r="H78" s="7"/>
      <c r="I78" s="257">
        <f>Insumos!$B$20</f>
        <v>0.03</v>
      </c>
      <c r="J78" s="258"/>
      <c r="K78" s="51">
        <f>$K$75/(1-(SUM($I$76:$J$78)))*I78</f>
        <v>1033.177684851189</v>
      </c>
      <c r="L78" s="7"/>
    </row>
    <row r="79" spans="1:13" ht="21" customHeight="1" x14ac:dyDescent="0.3">
      <c r="A79" s="251" t="s">
        <v>48</v>
      </c>
      <c r="B79" s="252"/>
      <c r="C79" s="252"/>
      <c r="D79" s="252"/>
      <c r="E79" s="252"/>
      <c r="F79" s="252"/>
      <c r="G79" s="252"/>
      <c r="H79" s="252"/>
      <c r="I79" s="252"/>
      <c r="J79" s="253"/>
      <c r="K79" s="64">
        <f>SUM(K76:K78)</f>
        <v>2978.9956579875952</v>
      </c>
      <c r="L79" s="54" t="s">
        <v>16</v>
      </c>
    </row>
    <row r="81" spans="1:20" x14ac:dyDescent="0.25">
      <c r="C81" s="5"/>
      <c r="D81" s="5"/>
      <c r="E81" s="5"/>
      <c r="F81" s="5"/>
      <c r="K81" s="2"/>
    </row>
    <row r="82" spans="1:20" ht="15.75" x14ac:dyDescent="0.25">
      <c r="A82" s="191" t="s">
        <v>56</v>
      </c>
      <c r="B82" s="191"/>
      <c r="C82" s="191"/>
      <c r="D82" s="191"/>
      <c r="E82" s="191"/>
      <c r="F82" s="191"/>
      <c r="G82" s="191"/>
      <c r="H82" s="191"/>
      <c r="I82" s="191"/>
      <c r="T82" s="43"/>
    </row>
    <row r="83" spans="1:20" ht="15.75" x14ac:dyDescent="0.25">
      <c r="A83" s="6"/>
      <c r="B83" s="6"/>
      <c r="C83" s="6"/>
      <c r="D83" s="6"/>
      <c r="E83" s="6"/>
      <c r="F83" s="6"/>
      <c r="G83" s="6"/>
      <c r="H83" s="6"/>
      <c r="I83" s="6"/>
    </row>
    <row r="84" spans="1:20" ht="15.75" x14ac:dyDescent="0.25">
      <c r="A84" s="191" t="s">
        <v>51</v>
      </c>
      <c r="B84" s="192"/>
      <c r="C84" s="192"/>
      <c r="D84" s="192"/>
      <c r="E84" s="192"/>
      <c r="F84" s="192"/>
      <c r="G84" s="192"/>
      <c r="H84" s="192"/>
    </row>
    <row r="85" spans="1:20" ht="20.25" customHeight="1" x14ac:dyDescent="0.3">
      <c r="A85" s="193" t="s">
        <v>135</v>
      </c>
      <c r="B85" s="193"/>
      <c r="C85" s="193"/>
      <c r="D85" s="193"/>
      <c r="E85" s="193"/>
      <c r="F85" s="193"/>
      <c r="G85" s="193"/>
      <c r="H85" s="193"/>
      <c r="I85" s="193"/>
      <c r="J85" s="193"/>
      <c r="K85" s="62">
        <f>K67+K72+K79</f>
        <v>34439.256161706304</v>
      </c>
    </row>
    <row r="86" spans="1:20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2"/>
    </row>
    <row r="87" spans="1:20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2"/>
      <c r="P87" s="42"/>
    </row>
    <row r="88" spans="1:20" ht="8.25" customHeight="1" x14ac:dyDescent="0.25"/>
    <row r="89" spans="1:20" ht="16.5" customHeight="1" x14ac:dyDescent="0.25">
      <c r="A89" s="194" t="s">
        <v>49</v>
      </c>
      <c r="B89" s="195"/>
      <c r="C89" s="195"/>
      <c r="D89" s="195"/>
      <c r="E89" s="195"/>
      <c r="F89" s="195"/>
      <c r="G89" s="195"/>
      <c r="H89" s="195"/>
      <c r="I89" s="195"/>
      <c r="J89" s="195"/>
      <c r="K89" s="7"/>
      <c r="L89" s="7"/>
    </row>
    <row r="90" spans="1:20" ht="24.75" customHeight="1" x14ac:dyDescent="0.3">
      <c r="A90" s="196" t="s">
        <v>141</v>
      </c>
      <c r="B90" s="196"/>
      <c r="C90" s="196"/>
      <c r="D90" s="196"/>
      <c r="E90" s="196"/>
      <c r="F90" s="196"/>
      <c r="G90" s="196"/>
      <c r="H90" s="196"/>
      <c r="I90" s="196"/>
      <c r="J90" s="196"/>
      <c r="K90" s="71">
        <f>K85/O18</f>
        <v>17.64161552419182</v>
      </c>
      <c r="L90" s="63" t="s">
        <v>50</v>
      </c>
    </row>
    <row r="94" spans="1:20" s="10" customFormat="1" x14ac:dyDescent="0.25"/>
    <row r="95" spans="1:20" s="11" customFormat="1" ht="18.75" x14ac:dyDescent="0.3">
      <c r="B95" s="12" t="s">
        <v>69</v>
      </c>
      <c r="D95" s="188" t="s">
        <v>65</v>
      </c>
      <c r="E95" s="188"/>
      <c r="L95" s="12" t="s">
        <v>69</v>
      </c>
      <c r="M95" s="12"/>
      <c r="N95" s="12" t="s">
        <v>75</v>
      </c>
      <c r="O95" s="12"/>
    </row>
    <row r="96" spans="1:20" s="11" customFormat="1" x14ac:dyDescent="0.25"/>
    <row r="97" spans="2:18" s="11" customFormat="1" x14ac:dyDescent="0.25">
      <c r="B97" s="184" t="s">
        <v>66</v>
      </c>
      <c r="C97" s="184"/>
      <c r="D97" s="13"/>
      <c r="E97" s="13"/>
      <c r="F97" s="189">
        <v>288912</v>
      </c>
      <c r="G97" s="189"/>
      <c r="L97" s="13" t="s">
        <v>66</v>
      </c>
      <c r="M97" s="13"/>
      <c r="N97" s="13"/>
      <c r="O97" s="13"/>
      <c r="P97" s="13"/>
      <c r="Q97" s="30">
        <v>271500</v>
      </c>
    </row>
    <row r="98" spans="2:18" s="11" customFormat="1" x14ac:dyDescent="0.25">
      <c r="B98" s="13" t="s">
        <v>67</v>
      </c>
      <c r="D98" s="13"/>
      <c r="E98" s="13"/>
      <c r="F98" s="185">
        <v>10</v>
      </c>
      <c r="G98" s="185"/>
      <c r="H98" s="11" t="s">
        <v>154</v>
      </c>
      <c r="L98" s="13" t="s">
        <v>67</v>
      </c>
      <c r="M98" s="13"/>
      <c r="N98" s="13"/>
      <c r="O98" s="13"/>
      <c r="P98" s="13"/>
      <c r="Q98" s="13">
        <v>10</v>
      </c>
      <c r="R98" s="11" t="s">
        <v>154</v>
      </c>
    </row>
    <row r="99" spans="2:18" s="11" customFormat="1" x14ac:dyDescent="0.25">
      <c r="B99" s="13" t="s">
        <v>81</v>
      </c>
      <c r="D99" s="13"/>
      <c r="E99" s="13"/>
      <c r="F99" s="14"/>
      <c r="G99" s="14">
        <v>2018</v>
      </c>
      <c r="L99" s="13" t="s">
        <v>81</v>
      </c>
      <c r="N99" s="13"/>
      <c r="O99" s="13"/>
      <c r="P99" s="14"/>
      <c r="Q99" s="14">
        <v>2018</v>
      </c>
    </row>
    <row r="100" spans="2:18" s="11" customFormat="1" x14ac:dyDescent="0.25">
      <c r="B100" s="184" t="s">
        <v>68</v>
      </c>
      <c r="C100" s="184"/>
      <c r="D100" s="184"/>
      <c r="F100" s="185">
        <v>6</v>
      </c>
      <c r="G100" s="185"/>
      <c r="L100" s="13" t="s">
        <v>76</v>
      </c>
      <c r="M100" s="13"/>
      <c r="N100" s="13"/>
      <c r="O100" s="13"/>
      <c r="P100" s="13"/>
      <c r="Q100" s="13">
        <v>6</v>
      </c>
    </row>
    <row r="101" spans="2:18" s="11" customFormat="1" x14ac:dyDescent="0.25">
      <c r="B101" s="184" t="s">
        <v>71</v>
      </c>
      <c r="C101" s="184"/>
      <c r="D101" s="184"/>
      <c r="F101" s="14"/>
      <c r="G101" s="17">
        <v>100000</v>
      </c>
      <c r="L101" s="13" t="s">
        <v>71</v>
      </c>
      <c r="M101" s="13"/>
      <c r="N101" s="13"/>
      <c r="O101" s="13"/>
      <c r="P101" s="13"/>
      <c r="Q101" s="19">
        <v>100000</v>
      </c>
    </row>
    <row r="102" spans="2:18" s="11" customFormat="1" x14ac:dyDescent="0.25">
      <c r="B102" s="184" t="s">
        <v>72</v>
      </c>
      <c r="C102" s="184"/>
      <c r="D102" s="184"/>
      <c r="F102" s="14"/>
      <c r="G102" s="20">
        <v>1533.77</v>
      </c>
      <c r="L102" s="13" t="s">
        <v>72</v>
      </c>
      <c r="M102" s="13"/>
      <c r="N102" s="13"/>
      <c r="O102" s="13"/>
      <c r="P102" s="13"/>
      <c r="Q102" s="69">
        <v>860.69</v>
      </c>
    </row>
    <row r="103" spans="2:18" s="11" customFormat="1" x14ac:dyDescent="0.25">
      <c r="B103" s="184" t="s">
        <v>73</v>
      </c>
      <c r="C103" s="184"/>
      <c r="D103" s="15"/>
      <c r="F103" s="14"/>
      <c r="G103" s="14">
        <v>2.6</v>
      </c>
      <c r="H103" s="13" t="s">
        <v>74</v>
      </c>
      <c r="L103" s="13" t="s">
        <v>73</v>
      </c>
      <c r="M103" s="13"/>
      <c r="N103" s="13"/>
      <c r="O103" s="13"/>
      <c r="P103" s="13"/>
      <c r="Q103" s="13">
        <v>4.7</v>
      </c>
    </row>
    <row r="104" spans="2:18" s="11" customFormat="1" x14ac:dyDescent="0.25">
      <c r="B104" s="184" t="s">
        <v>70</v>
      </c>
      <c r="C104" s="184"/>
      <c r="D104" s="184"/>
      <c r="F104" s="185" t="s">
        <v>125</v>
      </c>
      <c r="G104" s="185"/>
      <c r="L104" s="13" t="s">
        <v>70</v>
      </c>
      <c r="M104" s="13"/>
      <c r="N104" s="13"/>
      <c r="O104" s="13"/>
      <c r="P104" s="13"/>
      <c r="Q104" s="13" t="s">
        <v>124</v>
      </c>
    </row>
    <row r="105" spans="2:18" s="11" customFormat="1" x14ac:dyDescent="0.25"/>
    <row r="106" spans="2:18" s="11" customFormat="1" x14ac:dyDescent="0.25"/>
    <row r="107" spans="2:18" s="11" customFormat="1" ht="18.75" x14ac:dyDescent="0.3">
      <c r="B107" s="12" t="s">
        <v>69</v>
      </c>
      <c r="C107" s="12"/>
      <c r="D107" s="12" t="s">
        <v>77</v>
      </c>
      <c r="E107" s="13"/>
      <c r="F107" s="13"/>
      <c r="G107" s="13"/>
      <c r="H107" s="13"/>
      <c r="L107" s="12" t="s">
        <v>69</v>
      </c>
      <c r="M107" s="16"/>
      <c r="N107" s="16"/>
      <c r="O107" s="12" t="s">
        <v>78</v>
      </c>
    </row>
    <row r="108" spans="2:18" s="11" customFormat="1" x14ac:dyDescent="0.25">
      <c r="B108" s="13"/>
      <c r="C108" s="13"/>
      <c r="D108" s="13"/>
      <c r="E108" s="13"/>
      <c r="F108" s="13"/>
      <c r="G108" s="13"/>
      <c r="H108" s="13"/>
    </row>
    <row r="109" spans="2:18" s="11" customFormat="1" x14ac:dyDescent="0.25">
      <c r="B109" s="184" t="s">
        <v>66</v>
      </c>
      <c r="C109" s="184"/>
      <c r="D109" s="13"/>
      <c r="E109" s="13"/>
      <c r="F109" s="185">
        <v>400</v>
      </c>
      <c r="G109" s="185"/>
      <c r="H109" s="13"/>
      <c r="L109" s="184" t="s">
        <v>66</v>
      </c>
      <c r="M109" s="184"/>
      <c r="N109" s="13"/>
      <c r="O109" s="13"/>
      <c r="P109" s="185" t="s">
        <v>78</v>
      </c>
      <c r="Q109" s="185"/>
      <c r="R109" s="13"/>
    </row>
    <row r="110" spans="2:18" s="11" customFormat="1" x14ac:dyDescent="0.25">
      <c r="B110" s="13" t="s">
        <v>67</v>
      </c>
      <c r="C110" s="13"/>
      <c r="D110" s="13"/>
      <c r="E110" s="13"/>
      <c r="F110" s="185">
        <v>10</v>
      </c>
      <c r="G110" s="185"/>
      <c r="H110" s="13" t="s">
        <v>154</v>
      </c>
      <c r="L110" s="13" t="s">
        <v>67</v>
      </c>
      <c r="M110" s="13"/>
      <c r="N110" s="13"/>
      <c r="O110" s="13"/>
      <c r="P110" s="185">
        <v>8</v>
      </c>
      <c r="Q110" s="185"/>
      <c r="R110" s="13" t="s">
        <v>154</v>
      </c>
    </row>
    <row r="111" spans="2:18" s="11" customFormat="1" x14ac:dyDescent="0.25">
      <c r="B111" s="13" t="s">
        <v>81</v>
      </c>
      <c r="D111" s="13"/>
      <c r="E111" s="13"/>
      <c r="F111" s="14"/>
      <c r="G111" s="14" t="s">
        <v>82</v>
      </c>
      <c r="L111" s="13" t="s">
        <v>81</v>
      </c>
      <c r="N111" s="13"/>
      <c r="O111" s="13"/>
      <c r="P111" s="14"/>
      <c r="Q111" s="14" t="s">
        <v>83</v>
      </c>
      <c r="R111" s="13"/>
    </row>
    <row r="112" spans="2:18" s="11" customFormat="1" x14ac:dyDescent="0.25">
      <c r="B112" s="184" t="s">
        <v>68</v>
      </c>
      <c r="C112" s="184"/>
      <c r="D112" s="184"/>
      <c r="E112" s="13"/>
      <c r="F112" s="185" t="s">
        <v>87</v>
      </c>
      <c r="G112" s="185"/>
      <c r="H112" s="13"/>
      <c r="L112" s="184" t="s">
        <v>68</v>
      </c>
      <c r="M112" s="184"/>
      <c r="N112" s="184"/>
      <c r="O112" s="13"/>
      <c r="P112" s="185" t="s">
        <v>88</v>
      </c>
      <c r="Q112" s="185"/>
      <c r="R112" s="13"/>
    </row>
    <row r="113" spans="2:21" s="11" customFormat="1" x14ac:dyDescent="0.25">
      <c r="B113" s="184" t="s">
        <v>71</v>
      </c>
      <c r="C113" s="184"/>
      <c r="D113" s="184"/>
      <c r="E113" s="13"/>
      <c r="F113" s="14"/>
      <c r="G113" s="14" t="s">
        <v>89</v>
      </c>
      <c r="H113" s="13"/>
      <c r="L113" s="184" t="s">
        <v>71</v>
      </c>
      <c r="M113" s="184"/>
      <c r="N113" s="184"/>
      <c r="O113" s="13"/>
      <c r="P113" s="14"/>
      <c r="Q113" s="14" t="s">
        <v>90</v>
      </c>
      <c r="R113" s="13"/>
    </row>
    <row r="114" spans="2:21" s="11" customFormat="1" x14ac:dyDescent="0.25">
      <c r="B114" s="184" t="s">
        <v>72</v>
      </c>
      <c r="C114" s="184"/>
      <c r="D114" s="184"/>
      <c r="E114" s="13"/>
      <c r="F114" s="14"/>
      <c r="G114" s="14">
        <v>400</v>
      </c>
      <c r="H114" s="13"/>
      <c r="L114" s="184" t="s">
        <v>72</v>
      </c>
      <c r="M114" s="184"/>
      <c r="N114" s="184"/>
      <c r="O114" s="13"/>
      <c r="P114" s="14"/>
      <c r="Q114" s="14">
        <v>4444</v>
      </c>
      <c r="R114" s="13"/>
    </row>
    <row r="115" spans="2:21" s="11" customFormat="1" x14ac:dyDescent="0.25">
      <c r="B115" s="184" t="s">
        <v>73</v>
      </c>
      <c r="C115" s="184"/>
      <c r="D115" s="15"/>
      <c r="E115" s="13"/>
      <c r="F115" s="14"/>
      <c r="G115" s="14">
        <v>2</v>
      </c>
      <c r="H115" s="13" t="s">
        <v>74</v>
      </c>
      <c r="L115" s="184" t="s">
        <v>73</v>
      </c>
      <c r="M115" s="184"/>
      <c r="N115" s="15"/>
      <c r="O115" s="13"/>
      <c r="P115" s="14"/>
      <c r="Q115" s="14">
        <v>4</v>
      </c>
      <c r="R115" s="13" t="s">
        <v>74</v>
      </c>
    </row>
    <row r="116" spans="2:21" s="11" customFormat="1" x14ac:dyDescent="0.25">
      <c r="B116" s="184" t="s">
        <v>70</v>
      </c>
      <c r="C116" s="184"/>
      <c r="D116" s="184"/>
      <c r="E116" s="13"/>
      <c r="F116" s="185" t="s">
        <v>85</v>
      </c>
      <c r="G116" s="185"/>
      <c r="H116" s="13"/>
      <c r="L116" s="184" t="s">
        <v>70</v>
      </c>
      <c r="M116" s="184"/>
      <c r="N116" s="184"/>
      <c r="O116" s="13"/>
      <c r="P116" s="185" t="s">
        <v>86</v>
      </c>
      <c r="Q116" s="185"/>
      <c r="R116" s="13"/>
    </row>
    <row r="117" spans="2:21" s="11" customFormat="1" x14ac:dyDescent="0.25"/>
    <row r="118" spans="2:21" s="11" customFormat="1" x14ac:dyDescent="0.25"/>
    <row r="119" spans="2:21" s="11" customFormat="1" ht="18.75" x14ac:dyDescent="0.3">
      <c r="Q119" s="12" t="s">
        <v>65</v>
      </c>
      <c r="R119" s="12"/>
      <c r="T119" s="13" t="s">
        <v>130</v>
      </c>
      <c r="U119" s="13"/>
    </row>
    <row r="120" spans="2:21" s="11" customFormat="1" ht="18.75" x14ac:dyDescent="0.3">
      <c r="Q120" s="12" t="s">
        <v>75</v>
      </c>
      <c r="T120" s="13" t="s">
        <v>129</v>
      </c>
      <c r="U120" s="13"/>
    </row>
    <row r="121" spans="2:21" s="11" customFormat="1" ht="18.75" x14ac:dyDescent="0.3">
      <c r="Q121" s="12" t="s">
        <v>77</v>
      </c>
    </row>
    <row r="122" spans="2:21" s="11" customFormat="1" ht="18" customHeight="1" x14ac:dyDescent="0.3">
      <c r="B122" s="186" t="s">
        <v>172</v>
      </c>
      <c r="C122" s="186"/>
      <c r="Q122" s="12" t="s">
        <v>78</v>
      </c>
    </row>
    <row r="123" spans="2:21" ht="0.75" hidden="1" customHeight="1" x14ac:dyDescent="0.25">
      <c r="B123" s="186"/>
      <c r="C123" s="186"/>
    </row>
    <row r="124" spans="2:21" hidden="1" x14ac:dyDescent="0.25">
      <c r="B124" s="186"/>
      <c r="C124" s="186"/>
    </row>
    <row r="125" spans="2:21" x14ac:dyDescent="0.25">
      <c r="B125" s="186"/>
      <c r="C125" s="186"/>
    </row>
    <row r="126" spans="2:21" ht="24.75" x14ac:dyDescent="0.25">
      <c r="B126" s="94" t="s">
        <v>173</v>
      </c>
      <c r="C126" s="9" t="s">
        <v>174</v>
      </c>
      <c r="D126" s="9"/>
      <c r="E126" s="9"/>
      <c r="F126" s="9" t="s">
        <v>175</v>
      </c>
      <c r="G126" s="9"/>
      <c r="H126" s="9"/>
      <c r="I126" s="9" t="s">
        <v>176</v>
      </c>
      <c r="J126" s="9"/>
      <c r="K126" s="9"/>
      <c r="L126" s="9" t="s">
        <v>177</v>
      </c>
      <c r="M126" s="9"/>
      <c r="N126" s="9"/>
    </row>
    <row r="127" spans="2:21" x14ac:dyDescent="0.25">
      <c r="B127" s="5">
        <v>40</v>
      </c>
      <c r="C127" s="2">
        <f>$K$42*(B127*21)</f>
        <v>4049.0369329846144</v>
      </c>
      <c r="F127" s="2">
        <f>(C127+$K$65)*0.05</f>
        <v>1159.2990955593639</v>
      </c>
      <c r="I127" s="2">
        <f>(C127+$K$65+F127)*6%</f>
        <v>1460.7168604047984</v>
      </c>
      <c r="L127" s="31">
        <f>(C127+$K$65+F127+I127)*14.25%</f>
        <v>3677.3546960690801</v>
      </c>
      <c r="M127" s="9"/>
      <c r="N127" s="9"/>
    </row>
    <row r="128" spans="2:21" x14ac:dyDescent="0.25">
      <c r="B128" s="5">
        <v>50</v>
      </c>
      <c r="C128" s="2">
        <f t="shared" ref="C128:C139" si="0">$K$42*(B128*21)</f>
        <v>5061.296166230768</v>
      </c>
      <c r="F128" s="2">
        <f t="shared" ref="F128:F139" si="1">(C128+$K$65)*0.05</f>
        <v>1209.9120572216716</v>
      </c>
      <c r="I128" s="2">
        <f t="shared" ref="I128:I139" si="2">(C128+$K$65+F128)*6%</f>
        <v>1524.4891920993061</v>
      </c>
      <c r="L128" s="31">
        <f t="shared" ref="L128:L139" si="3">(C128+$K$65+F128+I128)*14.25%</f>
        <v>3837.9015411100031</v>
      </c>
      <c r="M128" s="9"/>
      <c r="N128" s="9"/>
    </row>
    <row r="129" spans="2:14" x14ac:dyDescent="0.25">
      <c r="B129" s="5">
        <v>60</v>
      </c>
      <c r="C129" s="2">
        <f t="shared" si="0"/>
        <v>6073.5553994769216</v>
      </c>
      <c r="F129" s="2">
        <f t="shared" si="1"/>
        <v>1260.5250188839793</v>
      </c>
      <c r="I129" s="2">
        <f t="shared" si="2"/>
        <v>1588.2615237938137</v>
      </c>
      <c r="L129" s="31">
        <f t="shared" si="3"/>
        <v>3998.4483861509261</v>
      </c>
      <c r="M129" s="9"/>
      <c r="N129" s="9"/>
    </row>
    <row r="130" spans="2:14" x14ac:dyDescent="0.25">
      <c r="B130" s="5">
        <v>70</v>
      </c>
      <c r="C130" s="2">
        <f t="shared" si="0"/>
        <v>7085.8146327230752</v>
      </c>
      <c r="F130" s="2">
        <f t="shared" si="1"/>
        <v>1311.1379805462871</v>
      </c>
      <c r="I130" s="2">
        <f t="shared" si="2"/>
        <v>1652.0338554883215</v>
      </c>
      <c r="L130" s="31">
        <f t="shared" si="3"/>
        <v>4158.9952311918487</v>
      </c>
      <c r="M130" s="9"/>
      <c r="N130" s="9"/>
    </row>
    <row r="131" spans="2:14" x14ac:dyDescent="0.25">
      <c r="B131" s="5">
        <v>80</v>
      </c>
      <c r="C131" s="2">
        <f t="shared" si="0"/>
        <v>8098.0738659692288</v>
      </c>
      <c r="F131" s="2">
        <f t="shared" si="1"/>
        <v>1361.7509422085948</v>
      </c>
      <c r="I131" s="2">
        <f t="shared" si="2"/>
        <v>1715.806187182829</v>
      </c>
      <c r="L131" s="31">
        <f t="shared" si="3"/>
        <v>4319.5420762327722</v>
      </c>
      <c r="M131" s="9"/>
      <c r="N131" s="9"/>
    </row>
    <row r="132" spans="2:14" x14ac:dyDescent="0.25">
      <c r="B132" s="5">
        <v>90</v>
      </c>
      <c r="C132" s="2">
        <f t="shared" si="0"/>
        <v>9110.3330992153824</v>
      </c>
      <c r="F132" s="2">
        <f t="shared" si="1"/>
        <v>1412.3639038709025</v>
      </c>
      <c r="I132" s="2">
        <f t="shared" si="2"/>
        <v>1779.578518877337</v>
      </c>
      <c r="L132" s="31">
        <f t="shared" si="3"/>
        <v>4480.0889212736956</v>
      </c>
      <c r="M132" s="9"/>
      <c r="N132" s="9"/>
    </row>
    <row r="133" spans="2:14" x14ac:dyDescent="0.25">
      <c r="B133" s="5">
        <v>100</v>
      </c>
      <c r="C133" s="2">
        <f t="shared" si="0"/>
        <v>10122.592332461536</v>
      </c>
      <c r="F133" s="2">
        <f t="shared" si="1"/>
        <v>1462.97686553321</v>
      </c>
      <c r="I133" s="2">
        <f t="shared" si="2"/>
        <v>1843.3508505718444</v>
      </c>
      <c r="L133" s="31">
        <f t="shared" si="3"/>
        <v>4640.6357663146182</v>
      </c>
      <c r="M133" s="9"/>
      <c r="N133" s="9"/>
    </row>
    <row r="134" spans="2:14" x14ac:dyDescent="0.25">
      <c r="B134" s="5">
        <v>110</v>
      </c>
      <c r="C134" s="2">
        <f t="shared" si="0"/>
        <v>11134.85156570769</v>
      </c>
      <c r="F134" s="2">
        <f t="shared" si="1"/>
        <v>1513.5898271955177</v>
      </c>
      <c r="I134" s="2">
        <f t="shared" si="2"/>
        <v>1907.1231822663524</v>
      </c>
      <c r="L134" s="31">
        <f t="shared" si="3"/>
        <v>4801.1826113555417</v>
      </c>
      <c r="M134" s="9"/>
      <c r="N134" s="9"/>
    </row>
    <row r="135" spans="2:14" x14ac:dyDescent="0.25">
      <c r="B135" s="5">
        <v>120</v>
      </c>
      <c r="C135" s="2">
        <f t="shared" si="0"/>
        <v>12147.110798953843</v>
      </c>
      <c r="F135" s="2">
        <f t="shared" si="1"/>
        <v>1564.2027888578255</v>
      </c>
      <c r="I135" s="2">
        <f t="shared" si="2"/>
        <v>1970.8955139608597</v>
      </c>
      <c r="L135" s="31">
        <f t="shared" si="3"/>
        <v>4961.7294563964642</v>
      </c>
      <c r="M135" s="9"/>
      <c r="N135" s="9"/>
    </row>
    <row r="136" spans="2:14" x14ac:dyDescent="0.25">
      <c r="B136" s="5">
        <v>130</v>
      </c>
      <c r="C136" s="2">
        <f t="shared" si="0"/>
        <v>13159.370032199997</v>
      </c>
      <c r="F136" s="2">
        <f t="shared" si="1"/>
        <v>1614.8157505201332</v>
      </c>
      <c r="I136" s="2">
        <f t="shared" si="2"/>
        <v>2034.6678456553677</v>
      </c>
      <c r="L136" s="31">
        <f t="shared" si="3"/>
        <v>5122.2763014373886</v>
      </c>
      <c r="M136" s="9"/>
      <c r="N136" s="9"/>
    </row>
    <row r="137" spans="2:14" x14ac:dyDescent="0.25">
      <c r="B137" s="5">
        <v>140</v>
      </c>
      <c r="C137" s="2">
        <f t="shared" si="0"/>
        <v>14171.62926544615</v>
      </c>
      <c r="F137" s="2">
        <f t="shared" si="1"/>
        <v>1665.4287121824409</v>
      </c>
      <c r="I137" s="2">
        <f t="shared" si="2"/>
        <v>2098.4401773498753</v>
      </c>
      <c r="L137" s="31">
        <f t="shared" si="3"/>
        <v>5282.8231464783103</v>
      </c>
      <c r="M137" s="9"/>
      <c r="N137" s="9"/>
    </row>
    <row r="138" spans="2:14" x14ac:dyDescent="0.25">
      <c r="B138" s="5">
        <v>150</v>
      </c>
      <c r="C138" s="2">
        <f t="shared" si="0"/>
        <v>15183.888498692304</v>
      </c>
      <c r="F138" s="2">
        <f t="shared" si="1"/>
        <v>1716.0416738447486</v>
      </c>
      <c r="I138" s="2">
        <f t="shared" si="2"/>
        <v>2162.2125090443828</v>
      </c>
      <c r="L138" s="31">
        <f t="shared" si="3"/>
        <v>5443.3699915192337</v>
      </c>
      <c r="M138" s="9"/>
      <c r="N138" s="9"/>
    </row>
    <row r="139" spans="2:14" x14ac:dyDescent="0.25">
      <c r="B139" s="5">
        <v>160</v>
      </c>
      <c r="C139" s="2">
        <f t="shared" si="0"/>
        <v>16196.147731938458</v>
      </c>
      <c r="F139" s="2">
        <f t="shared" si="1"/>
        <v>1766.6546355070561</v>
      </c>
      <c r="I139" s="2">
        <f t="shared" si="2"/>
        <v>2225.9848407388904</v>
      </c>
      <c r="L139" s="31">
        <f t="shared" si="3"/>
        <v>5603.9168365601563</v>
      </c>
      <c r="M139" s="9"/>
      <c r="N139" s="9"/>
    </row>
    <row r="140" spans="2:14" x14ac:dyDescent="0.25">
      <c r="B140" s="5"/>
    </row>
    <row r="143" spans="2:14" x14ac:dyDescent="0.25">
      <c r="B143" s="187" t="s">
        <v>178</v>
      </c>
      <c r="C143" s="187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</row>
    <row r="144" spans="2:14" x14ac:dyDescent="0.25">
      <c r="B144" s="187"/>
      <c r="C144" s="187"/>
    </row>
    <row r="145" spans="2:14" x14ac:dyDescent="0.25">
      <c r="B145" s="187"/>
      <c r="C145" s="187"/>
    </row>
    <row r="146" spans="2:14" x14ac:dyDescent="0.25">
      <c r="B146" s="187"/>
      <c r="C146" s="187"/>
    </row>
    <row r="147" spans="2:14" ht="24.75" x14ac:dyDescent="0.25">
      <c r="B147" s="94" t="s">
        <v>173</v>
      </c>
      <c r="C147" s="9" t="s">
        <v>174</v>
      </c>
      <c r="D147" s="9"/>
      <c r="E147" s="9"/>
      <c r="F147" s="9" t="s">
        <v>175</v>
      </c>
      <c r="G147" s="9"/>
      <c r="H147" s="9"/>
      <c r="I147" s="9" t="s">
        <v>176</v>
      </c>
      <c r="J147" s="9"/>
      <c r="K147" s="9"/>
      <c r="L147" s="9" t="s">
        <v>177</v>
      </c>
      <c r="M147" s="9"/>
      <c r="N147" s="9"/>
    </row>
    <row r="148" spans="2:14" x14ac:dyDescent="0.25">
      <c r="B148" s="5">
        <v>40</v>
      </c>
      <c r="C148" s="2">
        <f>($K$42*(B148*21))*1.154</f>
        <v>4672.5886206642444</v>
      </c>
      <c r="F148" s="2">
        <f>(C148+$K$65)*0.05</f>
        <v>1190.4766799433455</v>
      </c>
      <c r="I148" s="2">
        <f>(C148+$K$65+F148)*6%</f>
        <v>1500.0006167286153</v>
      </c>
      <c r="L148" s="31">
        <f>(C148+$K$65+F148+I148)*14.25%</f>
        <v>3776.2515526142888</v>
      </c>
      <c r="M148" s="9"/>
      <c r="N148" s="9"/>
    </row>
    <row r="149" spans="2:14" x14ac:dyDescent="0.25">
      <c r="B149" s="5">
        <v>50</v>
      </c>
      <c r="C149" s="2">
        <f t="shared" ref="C149:C160" si="4">($K$42*(B149*21))*1.154</f>
        <v>5840.735775830306</v>
      </c>
      <c r="F149" s="2">
        <f t="shared" ref="F149:F160" si="5">(C149+$K$65)*0.05</f>
        <v>1248.8840377016486</v>
      </c>
      <c r="I149" s="2">
        <f t="shared" ref="I149:I160" si="6">(C149+$K$65+F149)*6%</f>
        <v>1573.593887504077</v>
      </c>
      <c r="L149" s="31">
        <f t="shared" ref="L149:L160" si="7">(C149+$K$65+F149+I149)*14.25%</f>
        <v>3961.5226117915136</v>
      </c>
      <c r="M149" s="9"/>
      <c r="N149" s="9"/>
    </row>
    <row r="150" spans="2:14" x14ac:dyDescent="0.25">
      <c r="B150" s="5">
        <v>60</v>
      </c>
      <c r="C150" s="2">
        <f t="shared" si="4"/>
        <v>7008.8829309963667</v>
      </c>
      <c r="F150" s="2">
        <f t="shared" si="5"/>
        <v>1307.2913954599517</v>
      </c>
      <c r="I150" s="2">
        <f t="shared" si="6"/>
        <v>1647.1871582795388</v>
      </c>
      <c r="L150" s="31">
        <f t="shared" si="7"/>
        <v>4146.7936709687392</v>
      </c>
      <c r="M150" s="9"/>
      <c r="N150" s="9"/>
    </row>
    <row r="151" spans="2:14" x14ac:dyDescent="0.25">
      <c r="B151" s="5">
        <v>70</v>
      </c>
      <c r="C151" s="2">
        <f t="shared" si="4"/>
        <v>8177.0300861624282</v>
      </c>
      <c r="F151" s="2">
        <f t="shared" si="5"/>
        <v>1365.6987532182548</v>
      </c>
      <c r="I151" s="2">
        <f t="shared" si="6"/>
        <v>1720.7804290550007</v>
      </c>
      <c r="L151" s="31">
        <f t="shared" si="7"/>
        <v>4332.0647301459639</v>
      </c>
      <c r="M151" s="9"/>
      <c r="N151" s="9"/>
    </row>
    <row r="152" spans="2:14" x14ac:dyDescent="0.25">
      <c r="B152" s="5">
        <v>80</v>
      </c>
      <c r="C152" s="2">
        <f t="shared" si="4"/>
        <v>9345.1772413284889</v>
      </c>
      <c r="F152" s="2">
        <f t="shared" si="5"/>
        <v>1424.1061109765578</v>
      </c>
      <c r="I152" s="2">
        <f t="shared" si="6"/>
        <v>1794.3736998304626</v>
      </c>
      <c r="L152" s="31">
        <f t="shared" si="7"/>
        <v>4517.3357893231896</v>
      </c>
      <c r="M152" s="9"/>
      <c r="N152" s="9"/>
    </row>
    <row r="153" spans="2:14" x14ac:dyDescent="0.25">
      <c r="B153" s="5">
        <v>90</v>
      </c>
      <c r="C153" s="2">
        <f t="shared" si="4"/>
        <v>10513.32439649455</v>
      </c>
      <c r="F153" s="2">
        <f t="shared" si="5"/>
        <v>1482.5134687348609</v>
      </c>
      <c r="I153" s="2">
        <f t="shared" si="6"/>
        <v>1867.9669706059244</v>
      </c>
      <c r="L153" s="31">
        <f t="shared" si="7"/>
        <v>4702.6068485004143</v>
      </c>
      <c r="M153" s="9"/>
      <c r="N153" s="9"/>
    </row>
    <row r="154" spans="2:14" x14ac:dyDescent="0.25">
      <c r="B154" s="5">
        <v>100</v>
      </c>
      <c r="C154" s="2">
        <f t="shared" si="4"/>
        <v>11681.471551660612</v>
      </c>
      <c r="F154" s="2">
        <f t="shared" si="5"/>
        <v>1540.920826493164</v>
      </c>
      <c r="I154" s="2">
        <f t="shared" si="6"/>
        <v>1941.5602413813863</v>
      </c>
      <c r="L154" s="31">
        <f t="shared" si="7"/>
        <v>4887.8779076776391</v>
      </c>
      <c r="M154" s="9"/>
      <c r="N154" s="9"/>
    </row>
    <row r="155" spans="2:14" x14ac:dyDescent="0.25">
      <c r="B155" s="5">
        <v>110</v>
      </c>
      <c r="C155" s="2">
        <f t="shared" si="4"/>
        <v>12849.618706826674</v>
      </c>
      <c r="F155" s="2">
        <f t="shared" si="5"/>
        <v>1599.3281842514671</v>
      </c>
      <c r="I155" s="2">
        <f t="shared" si="6"/>
        <v>2015.1535121568484</v>
      </c>
      <c r="L155" s="31">
        <f t="shared" si="7"/>
        <v>5073.1489668548647</v>
      </c>
      <c r="M155" s="9"/>
      <c r="N155" s="9"/>
    </row>
    <row r="156" spans="2:14" x14ac:dyDescent="0.25">
      <c r="B156" s="5">
        <v>120</v>
      </c>
      <c r="C156" s="2">
        <f t="shared" si="4"/>
        <v>14017.765861992733</v>
      </c>
      <c r="F156" s="2">
        <f t="shared" si="5"/>
        <v>1657.7355420097699</v>
      </c>
      <c r="I156" s="2">
        <f t="shared" si="6"/>
        <v>2088.7467829323095</v>
      </c>
      <c r="L156" s="31">
        <f t="shared" si="7"/>
        <v>5258.4200260320886</v>
      </c>
      <c r="M156" s="9"/>
      <c r="N156" s="9"/>
    </row>
    <row r="157" spans="2:14" x14ac:dyDescent="0.25">
      <c r="B157" s="5">
        <v>130</v>
      </c>
      <c r="C157" s="2">
        <f t="shared" si="4"/>
        <v>15185.913017158795</v>
      </c>
      <c r="F157" s="2">
        <f t="shared" si="5"/>
        <v>1716.1428997680732</v>
      </c>
      <c r="I157" s="2">
        <f t="shared" si="6"/>
        <v>2162.3400537077719</v>
      </c>
      <c r="L157" s="31">
        <f t="shared" si="7"/>
        <v>5443.6910852093151</v>
      </c>
      <c r="M157" s="9"/>
      <c r="N157" s="9"/>
    </row>
    <row r="158" spans="2:14" x14ac:dyDescent="0.25">
      <c r="B158" s="5">
        <v>140</v>
      </c>
      <c r="C158" s="2">
        <f t="shared" si="4"/>
        <v>16354.060172324856</v>
      </c>
      <c r="F158" s="2">
        <f t="shared" si="5"/>
        <v>1774.5502575263761</v>
      </c>
      <c r="I158" s="2">
        <f t="shared" si="6"/>
        <v>2235.9333244832337</v>
      </c>
      <c r="L158" s="31">
        <f t="shared" si="7"/>
        <v>5628.9621443865399</v>
      </c>
      <c r="M158" s="9"/>
      <c r="N158" s="9"/>
    </row>
    <row r="159" spans="2:14" x14ac:dyDescent="0.25">
      <c r="B159" s="5">
        <v>150</v>
      </c>
      <c r="C159" s="2">
        <f t="shared" si="4"/>
        <v>17522.207327490916</v>
      </c>
      <c r="F159" s="2">
        <f t="shared" si="5"/>
        <v>1832.9576152846794</v>
      </c>
      <c r="I159" s="2">
        <f t="shared" si="6"/>
        <v>2309.5265952586956</v>
      </c>
      <c r="L159" s="31">
        <f t="shared" si="7"/>
        <v>5814.2332035637655</v>
      </c>
      <c r="M159" s="9"/>
      <c r="N159" s="9"/>
    </row>
    <row r="160" spans="2:14" x14ac:dyDescent="0.25">
      <c r="B160" s="5">
        <v>160</v>
      </c>
      <c r="C160" s="2">
        <f t="shared" si="4"/>
        <v>18690.354482656978</v>
      </c>
      <c r="F160" s="2">
        <f t="shared" si="5"/>
        <v>1891.3649730429822</v>
      </c>
      <c r="I160" s="2">
        <f t="shared" si="6"/>
        <v>2383.1198660341574</v>
      </c>
      <c r="L160" s="31">
        <f t="shared" si="7"/>
        <v>5999.5042627409903</v>
      </c>
      <c r="M160" s="9"/>
      <c r="N160" s="9"/>
    </row>
  </sheetData>
  <mergeCells count="121">
    <mergeCell ref="A11:F11"/>
    <mergeCell ref="K11:N11"/>
    <mergeCell ref="A12:C12"/>
    <mergeCell ref="E12:F12"/>
    <mergeCell ref="K12:N12"/>
    <mergeCell ref="A13:D13"/>
    <mergeCell ref="E13:F13"/>
    <mergeCell ref="K13:N13"/>
    <mergeCell ref="C2:F6"/>
    <mergeCell ref="H3:P5"/>
    <mergeCell ref="F7:H7"/>
    <mergeCell ref="K7:N7"/>
    <mergeCell ref="B8:C8"/>
    <mergeCell ref="I9:P9"/>
    <mergeCell ref="A9:F9"/>
    <mergeCell ref="O16:O17"/>
    <mergeCell ref="P16:P17"/>
    <mergeCell ref="T17:V17"/>
    <mergeCell ref="A14:D14"/>
    <mergeCell ref="E14:F14"/>
    <mergeCell ref="K14:N15"/>
    <mergeCell ref="O14:O15"/>
    <mergeCell ref="P14:P15"/>
    <mergeCell ref="E15:F15"/>
    <mergeCell ref="K18:N18"/>
    <mergeCell ref="A19:F19"/>
    <mergeCell ref="A20:F20"/>
    <mergeCell ref="A23:F23"/>
    <mergeCell ref="A24:D24"/>
    <mergeCell ref="E24:F24"/>
    <mergeCell ref="A16:D16"/>
    <mergeCell ref="E16:F16"/>
    <mergeCell ref="K16:N17"/>
    <mergeCell ref="H21:N22"/>
    <mergeCell ref="A28:D28"/>
    <mergeCell ref="E28:F28"/>
    <mergeCell ref="A31:F31"/>
    <mergeCell ref="A32:D32"/>
    <mergeCell ref="E32:F32"/>
    <mergeCell ref="A33:D33"/>
    <mergeCell ref="A25:D25"/>
    <mergeCell ref="E25:F25"/>
    <mergeCell ref="A26:D26"/>
    <mergeCell ref="E26:F26"/>
    <mergeCell ref="A27:D27"/>
    <mergeCell ref="E27:F27"/>
    <mergeCell ref="B41:D41"/>
    <mergeCell ref="F41:H41"/>
    <mergeCell ref="A42:E42"/>
    <mergeCell ref="A43:J43"/>
    <mergeCell ref="A45:J45"/>
    <mergeCell ref="A47:J47"/>
    <mergeCell ref="A36:E36"/>
    <mergeCell ref="B37:D37"/>
    <mergeCell ref="E37:F37"/>
    <mergeCell ref="B38:D38"/>
    <mergeCell ref="B39:D39"/>
    <mergeCell ref="B40:D40"/>
    <mergeCell ref="C54:F54"/>
    <mergeCell ref="C55:F55"/>
    <mergeCell ref="C58:F58"/>
    <mergeCell ref="C60:G60"/>
    <mergeCell ref="C62:E62"/>
    <mergeCell ref="C63:F63"/>
    <mergeCell ref="A49:E49"/>
    <mergeCell ref="H50:I50"/>
    <mergeCell ref="C51:F51"/>
    <mergeCell ref="H51:I51"/>
    <mergeCell ref="C52:F52"/>
    <mergeCell ref="C53:F53"/>
    <mergeCell ref="A74:E74"/>
    <mergeCell ref="A75:F75"/>
    <mergeCell ref="I75:J75"/>
    <mergeCell ref="I76:J76"/>
    <mergeCell ref="I77:J77"/>
    <mergeCell ref="I78:J78"/>
    <mergeCell ref="A65:J65"/>
    <mergeCell ref="A67:I67"/>
    <mergeCell ref="A69:E69"/>
    <mergeCell ref="I69:J69"/>
    <mergeCell ref="C70:F70"/>
    <mergeCell ref="C71:F71"/>
    <mergeCell ref="D95:E95"/>
    <mergeCell ref="B97:C97"/>
    <mergeCell ref="F97:G97"/>
    <mergeCell ref="F98:G98"/>
    <mergeCell ref="B100:D100"/>
    <mergeCell ref="F100:G100"/>
    <mergeCell ref="A79:J79"/>
    <mergeCell ref="A82:I82"/>
    <mergeCell ref="A84:H84"/>
    <mergeCell ref="A85:J85"/>
    <mergeCell ref="A89:J89"/>
    <mergeCell ref="A90:J90"/>
    <mergeCell ref="L109:M109"/>
    <mergeCell ref="P109:Q109"/>
    <mergeCell ref="F110:G110"/>
    <mergeCell ref="P110:Q110"/>
    <mergeCell ref="B112:D112"/>
    <mergeCell ref="F112:G112"/>
    <mergeCell ref="L112:N112"/>
    <mergeCell ref="P112:Q112"/>
    <mergeCell ref="B101:D101"/>
    <mergeCell ref="B102:D102"/>
    <mergeCell ref="B103:C103"/>
    <mergeCell ref="B104:D104"/>
    <mergeCell ref="F104:G104"/>
    <mergeCell ref="B109:C109"/>
    <mergeCell ref="F109:G109"/>
    <mergeCell ref="B116:D116"/>
    <mergeCell ref="F116:G116"/>
    <mergeCell ref="L116:N116"/>
    <mergeCell ref="P116:Q116"/>
    <mergeCell ref="B122:C125"/>
    <mergeCell ref="B143:C146"/>
    <mergeCell ref="B113:D113"/>
    <mergeCell ref="L113:N113"/>
    <mergeCell ref="B114:D114"/>
    <mergeCell ref="L114:N114"/>
    <mergeCell ref="B115:C115"/>
    <mergeCell ref="L115:M115"/>
  </mergeCells>
  <conditionalFormatting sqref="P19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{4FAA9751-B41D-4844-B85C-84E3AE81E6FC}</x14:id>
        </ext>
      </extLst>
    </cfRule>
  </conditionalFormatting>
  <dataValidations disablePrompts="1" count="3">
    <dataValidation type="list" allowBlank="1" showInputMessage="1" showErrorMessage="1" sqref="E15:F15">
      <formula1>"0,1,2,3,4,5,6,7,8,9,10,11,12,13,14,15"</formula1>
    </dataValidation>
    <dataValidation type="list" allowBlank="1" showInputMessage="1" showErrorMessage="1" sqref="L51">
      <formula1>"LINEAR, MÉTODO COLE"</formula1>
    </dataValidation>
    <dataValidation type="list" allowBlank="1" showInputMessage="1" showErrorMessage="1" sqref="F7:H7 T17:V17">
      <formula1>$Q$119:$Q$122</formula1>
    </dataValidation>
  </dataValidations>
  <pageMargins left="0.51181102362204722" right="0.51181102362204722" top="0.78740157480314965" bottom="0.78740157480314965" header="0.31496062992125984" footer="0.31496062992125984"/>
  <pageSetup paperSize="9" scale="50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FAA9751-B41D-4844-B85C-84E3AE81E6F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P19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7">
    <tabColor rgb="FF0070C0"/>
  </sheetPr>
  <dimension ref="A2:V160"/>
  <sheetViews>
    <sheetView tabSelected="1" view="pageBreakPreview" topLeftCell="A39" zoomScale="85" zoomScaleNormal="100" zoomScaleSheetLayoutView="85" workbookViewId="0">
      <selection activeCell="A57" sqref="A57"/>
    </sheetView>
  </sheetViews>
  <sheetFormatPr defaultColWidth="8.85546875" defaultRowHeight="15" x14ac:dyDescent="0.25"/>
  <cols>
    <col min="2" max="2" width="14.140625" customWidth="1"/>
    <col min="3" max="3" width="15.28515625" customWidth="1"/>
    <col min="5" max="5" width="12.42578125" customWidth="1"/>
    <col min="6" max="6" width="13.5703125" customWidth="1"/>
    <col min="7" max="7" width="12.140625" customWidth="1"/>
    <col min="9" max="9" width="10.7109375" customWidth="1"/>
    <col min="10" max="10" width="12.140625" bestFit="1" customWidth="1"/>
    <col min="11" max="11" width="16.42578125" bestFit="1" customWidth="1"/>
    <col min="12" max="12" width="14.42578125" customWidth="1"/>
    <col min="14" max="14" width="6.42578125" customWidth="1"/>
    <col min="15" max="15" width="9" customWidth="1"/>
    <col min="16" max="16" width="10.42578125" customWidth="1"/>
    <col min="17" max="17" width="15.140625" customWidth="1"/>
    <col min="18" max="18" width="14.7109375" bestFit="1" customWidth="1"/>
    <col min="19" max="19" width="19.42578125" bestFit="1" customWidth="1"/>
  </cols>
  <sheetData>
    <row r="2" spans="1:19" x14ac:dyDescent="0.25">
      <c r="C2" s="239" t="s">
        <v>151</v>
      </c>
      <c r="D2" s="240"/>
      <c r="E2" s="240"/>
      <c r="F2" s="240"/>
    </row>
    <row r="3" spans="1:19" x14ac:dyDescent="0.25">
      <c r="C3" s="240"/>
      <c r="D3" s="240"/>
      <c r="E3" s="240"/>
      <c r="F3" s="240"/>
      <c r="H3" s="241" t="s">
        <v>64</v>
      </c>
      <c r="I3" s="239"/>
      <c r="J3" s="239"/>
      <c r="K3" s="239"/>
      <c r="L3" s="239"/>
      <c r="M3" s="239"/>
      <c r="N3" s="239"/>
      <c r="O3" s="239"/>
      <c r="P3" s="239"/>
    </row>
    <row r="4" spans="1:19" x14ac:dyDescent="0.25">
      <c r="C4" s="240"/>
      <c r="D4" s="240"/>
      <c r="E4" s="240"/>
      <c r="F4" s="240"/>
      <c r="H4" s="239"/>
      <c r="I4" s="239"/>
      <c r="J4" s="239"/>
      <c r="K4" s="239"/>
      <c r="L4" s="239"/>
      <c r="M4" s="239"/>
      <c r="N4" s="239"/>
      <c r="O4" s="239"/>
      <c r="P4" s="239"/>
    </row>
    <row r="5" spans="1:19" x14ac:dyDescent="0.25">
      <c r="C5" s="240"/>
      <c r="D5" s="240"/>
      <c r="E5" s="240"/>
      <c r="F5" s="240"/>
      <c r="H5" s="239"/>
      <c r="I5" s="239"/>
      <c r="J5" s="239"/>
      <c r="K5" s="239"/>
      <c r="L5" s="239"/>
      <c r="M5" s="239"/>
      <c r="N5" s="239"/>
      <c r="O5" s="239"/>
      <c r="P5" s="239"/>
    </row>
    <row r="6" spans="1:19" x14ac:dyDescent="0.25">
      <c r="C6" s="240"/>
      <c r="D6" s="240"/>
      <c r="E6" s="240"/>
      <c r="F6" s="240"/>
    </row>
    <row r="7" spans="1:19" ht="21" x14ac:dyDescent="0.35">
      <c r="E7" s="18" t="s">
        <v>80</v>
      </c>
      <c r="F7" s="235" t="s">
        <v>65</v>
      </c>
      <c r="G7" s="235"/>
      <c r="H7" s="235"/>
      <c r="K7" s="242" t="s">
        <v>286</v>
      </c>
      <c r="L7" s="243"/>
      <c r="M7" s="243"/>
      <c r="N7" s="243"/>
    </row>
    <row r="8" spans="1:19" ht="15.75" x14ac:dyDescent="0.25">
      <c r="B8" s="194"/>
      <c r="C8" s="194"/>
      <c r="D8" s="8"/>
      <c r="E8" s="8"/>
      <c r="F8" s="8"/>
      <c r="J8" s="9"/>
    </row>
    <row r="9" spans="1:19" ht="21" x14ac:dyDescent="0.35">
      <c r="A9" s="235" t="s">
        <v>352</v>
      </c>
      <c r="B9" s="235"/>
      <c r="C9" s="235"/>
      <c r="D9" s="235"/>
      <c r="E9" s="235"/>
      <c r="F9" s="235"/>
      <c r="I9" s="244" t="s">
        <v>157</v>
      </c>
      <c r="J9" s="244"/>
      <c r="K9" s="244"/>
      <c r="L9" s="244"/>
      <c r="M9" s="244"/>
      <c r="N9" s="244"/>
      <c r="O9" s="244"/>
      <c r="P9" s="244"/>
      <c r="R9" s="9" t="s">
        <v>155</v>
      </c>
      <c r="S9" s="9" t="s">
        <v>156</v>
      </c>
    </row>
    <row r="10" spans="1:19" x14ac:dyDescent="0.25">
      <c r="R10" s="2">
        <f>K43</f>
        <v>3336.4064327793221</v>
      </c>
      <c r="S10" s="43">
        <f>K45</f>
        <v>6993.0916869577277</v>
      </c>
    </row>
    <row r="11" spans="1:19" ht="17.25" x14ac:dyDescent="0.3">
      <c r="A11" s="236" t="s">
        <v>150</v>
      </c>
      <c r="B11" s="237"/>
      <c r="C11" s="237"/>
      <c r="D11" s="237"/>
      <c r="E11" s="237"/>
      <c r="F11" s="238"/>
      <c r="G11" s="40" t="s">
        <v>0</v>
      </c>
      <c r="K11" s="206" t="s">
        <v>15</v>
      </c>
      <c r="L11" s="206"/>
      <c r="M11" s="206"/>
      <c r="N11" s="206"/>
      <c r="O11" s="161">
        <f>O12+O13</f>
        <v>92.960000000000008</v>
      </c>
      <c r="P11" s="47" t="s">
        <v>14</v>
      </c>
      <c r="R11" s="130">
        <f>K65/O18*O14</f>
        <v>6785.2162917551623</v>
      </c>
      <c r="S11" s="130">
        <f>K65/O18*O16</f>
        <v>12351.728686447505</v>
      </c>
    </row>
    <row r="12" spans="1:19" ht="15.75" x14ac:dyDescent="0.25">
      <c r="A12" s="214" t="s">
        <v>107</v>
      </c>
      <c r="B12" s="215"/>
      <c r="C12" s="215"/>
      <c r="D12" s="48"/>
      <c r="E12" s="218">
        <f>Insumos!$B$4</f>
        <v>531068.38</v>
      </c>
      <c r="F12" s="218"/>
      <c r="G12" s="1"/>
      <c r="K12" s="206" t="s">
        <v>136</v>
      </c>
      <c r="L12" s="206"/>
      <c r="M12" s="206"/>
      <c r="N12" s="206"/>
      <c r="O12" s="150">
        <v>32.96</v>
      </c>
      <c r="P12" s="47" t="s">
        <v>14</v>
      </c>
      <c r="R12" s="2">
        <f>K72/O18*O14</f>
        <v>706.93009568067566</v>
      </c>
      <c r="S12" s="2">
        <f>K72/O18*O16</f>
        <v>1286.8873100983176</v>
      </c>
    </row>
    <row r="13" spans="1:19" ht="15.75" x14ac:dyDescent="0.25">
      <c r="A13" s="214" t="s">
        <v>285</v>
      </c>
      <c r="B13" s="215"/>
      <c r="C13" s="215"/>
      <c r="D13" s="216"/>
      <c r="E13" s="198">
        <f>'DEPRECIAÇÃO LINEAR'!D15</f>
        <v>10</v>
      </c>
      <c r="F13" s="198"/>
      <c r="K13" s="206" t="s">
        <v>137</v>
      </c>
      <c r="L13" s="206"/>
      <c r="M13" s="206"/>
      <c r="N13" s="206"/>
      <c r="O13" s="150">
        <v>60</v>
      </c>
      <c r="P13" s="47" t="s">
        <v>14</v>
      </c>
      <c r="R13" s="2">
        <f>K79/O18*O14</f>
        <v>1056.2359820059287</v>
      </c>
      <c r="S13" s="2">
        <f>K79/O18*O16</f>
        <v>1922.7596759816665</v>
      </c>
    </row>
    <row r="14" spans="1:19" ht="15" customHeight="1" x14ac:dyDescent="0.25">
      <c r="A14" s="214" t="s">
        <v>23</v>
      </c>
      <c r="B14" s="215"/>
      <c r="C14" s="215"/>
      <c r="D14" s="216"/>
      <c r="E14" s="219">
        <v>2026</v>
      </c>
      <c r="F14" s="220"/>
      <c r="K14" s="223" t="s">
        <v>138</v>
      </c>
      <c r="L14" s="223"/>
      <c r="M14" s="223"/>
      <c r="N14" s="223"/>
      <c r="O14" s="232">
        <f>O12*21</f>
        <v>692.16</v>
      </c>
      <c r="P14" s="234" t="s">
        <v>14</v>
      </c>
      <c r="R14" s="2">
        <f>SUM(R10:R13)</f>
        <v>11884.78880222109</v>
      </c>
      <c r="S14" s="2">
        <f>SUM(S10:S13)</f>
        <v>22554.467359485217</v>
      </c>
    </row>
    <row r="15" spans="1:19" ht="15.75" customHeight="1" x14ac:dyDescent="0.25">
      <c r="A15" s="49" t="s">
        <v>79</v>
      </c>
      <c r="B15" s="48"/>
      <c r="C15" s="48"/>
      <c r="D15" s="48"/>
      <c r="E15" s="198">
        <v>0</v>
      </c>
      <c r="F15" s="198"/>
      <c r="G15" s="41" t="s">
        <v>128</v>
      </c>
      <c r="I15" s="28"/>
      <c r="J15" s="28"/>
      <c r="K15" s="223"/>
      <c r="L15" s="223"/>
      <c r="M15" s="223"/>
      <c r="N15" s="223"/>
      <c r="O15" s="233"/>
      <c r="P15" s="234"/>
      <c r="R15" s="31">
        <f>IFERROR(R14/O14,0)</f>
        <v>17.17058021587652</v>
      </c>
      <c r="S15" s="31">
        <f>IFERROR(S14/O16,0)</f>
        <v>17.900370920226361</v>
      </c>
    </row>
    <row r="16" spans="1:19" ht="15" customHeight="1" x14ac:dyDescent="0.25">
      <c r="A16" s="214" t="s">
        <v>84</v>
      </c>
      <c r="B16" s="215"/>
      <c r="C16" s="215"/>
      <c r="D16" s="215"/>
      <c r="E16" s="198" t="str">
        <f>IF($F$7=$D$95,F104,IF($F$7=$D$107,F116,IF($F$7=$N$95,Q104,IF($F$7=$O$107,P116,""))))</f>
        <v>ATÉ 59 ALUNOS</v>
      </c>
      <c r="F16" s="198"/>
      <c r="I16" s="28"/>
      <c r="J16" s="28"/>
      <c r="K16" s="223" t="s">
        <v>139</v>
      </c>
      <c r="L16" s="223"/>
      <c r="M16" s="223"/>
      <c r="N16" s="223"/>
      <c r="O16" s="232">
        <f>O13*21</f>
        <v>1260</v>
      </c>
      <c r="P16" s="234" t="s">
        <v>14</v>
      </c>
    </row>
    <row r="17" spans="1:22" ht="15" customHeight="1" x14ac:dyDescent="0.35">
      <c r="I17" s="28"/>
      <c r="J17" s="28"/>
      <c r="K17" s="223"/>
      <c r="L17" s="223"/>
      <c r="M17" s="223"/>
      <c r="N17" s="223"/>
      <c r="O17" s="233"/>
      <c r="P17" s="234"/>
      <c r="R17" s="2">
        <f>R14+S14</f>
        <v>34439.256161706304</v>
      </c>
      <c r="T17" s="235"/>
      <c r="U17" s="235"/>
      <c r="V17" s="235"/>
    </row>
    <row r="18" spans="1:22" ht="15" customHeight="1" x14ac:dyDescent="0.25">
      <c r="I18" s="28"/>
      <c r="J18" s="28"/>
      <c r="K18" s="223" t="s">
        <v>140</v>
      </c>
      <c r="L18" s="223"/>
      <c r="M18" s="223"/>
      <c r="N18" s="223"/>
      <c r="O18" s="46">
        <f>O16+O14</f>
        <v>1952.1599999999999</v>
      </c>
      <c r="P18" s="47" t="s">
        <v>14</v>
      </c>
      <c r="R18" s="2">
        <f>R17/O18</f>
        <v>17.64161552419182</v>
      </c>
    </row>
    <row r="19" spans="1:22" ht="15.75" customHeight="1" x14ac:dyDescent="0.3">
      <c r="A19" s="224" t="s">
        <v>1</v>
      </c>
      <c r="B19" s="225"/>
      <c r="C19" s="225"/>
      <c r="D19" s="225"/>
      <c r="E19" s="225"/>
      <c r="F19" s="225"/>
      <c r="I19" s="29"/>
      <c r="J19" s="29"/>
      <c r="K19" s="29"/>
      <c r="L19" s="29"/>
      <c r="M19" s="29"/>
    </row>
    <row r="20" spans="1:22" ht="15" customHeight="1" thickBot="1" x14ac:dyDescent="0.3">
      <c r="A20" s="206" t="s">
        <v>106</v>
      </c>
      <c r="B20" s="206"/>
      <c r="C20" s="206"/>
      <c r="D20" s="206"/>
      <c r="E20" s="206"/>
      <c r="F20" s="206"/>
      <c r="I20" s="28"/>
      <c r="J20" s="28"/>
      <c r="K20" s="28"/>
      <c r="L20" s="28"/>
      <c r="M20" s="28"/>
      <c r="O20" s="93">
        <f>K90</f>
        <v>17.64161552419182</v>
      </c>
      <c r="R20" s="93">
        <f>K90</f>
        <v>17.64161552419182</v>
      </c>
    </row>
    <row r="21" spans="1:22" x14ac:dyDescent="0.25">
      <c r="H21" s="245" t="s">
        <v>298</v>
      </c>
      <c r="I21" s="246"/>
      <c r="J21" s="246"/>
      <c r="K21" s="246"/>
      <c r="L21" s="246"/>
      <c r="M21" s="246"/>
      <c r="N21" s="247"/>
      <c r="O21" s="2"/>
    </row>
    <row r="22" spans="1:22" ht="15.75" thickBot="1" x14ac:dyDescent="0.3">
      <c r="H22" s="248"/>
      <c r="I22" s="249"/>
      <c r="J22" s="249"/>
      <c r="K22" s="249"/>
      <c r="L22" s="249"/>
      <c r="M22" s="249"/>
      <c r="N22" s="250"/>
    </row>
    <row r="23" spans="1:22" ht="17.25" x14ac:dyDescent="0.3">
      <c r="A23" s="224" t="s">
        <v>2</v>
      </c>
      <c r="B23" s="225"/>
      <c r="C23" s="225"/>
      <c r="D23" s="225"/>
      <c r="E23" s="225"/>
      <c r="F23" s="225"/>
      <c r="L23" s="2"/>
    </row>
    <row r="24" spans="1:22" ht="15.75" x14ac:dyDescent="0.25">
      <c r="A24" s="214" t="s">
        <v>11</v>
      </c>
      <c r="B24" s="215"/>
      <c r="C24" s="215"/>
      <c r="D24" s="215"/>
      <c r="E24" s="198">
        <f>IF($F$7=$D$95,F100,IF($F$7=$D$107,F112,IF($F$7=$N$95,Q100,IF($F$7=$O$107,P112,""))))</f>
        <v>6</v>
      </c>
      <c r="F24" s="198"/>
    </row>
    <row r="25" spans="1:22" ht="15.75" x14ac:dyDescent="0.25">
      <c r="A25" s="214" t="s">
        <v>9</v>
      </c>
      <c r="B25" s="215"/>
      <c r="C25" s="215"/>
      <c r="D25" s="216"/>
      <c r="E25" s="218">
        <f>Insumos!$B$5</f>
        <v>2453.2399999999998</v>
      </c>
      <c r="F25" s="218"/>
    </row>
    <row r="26" spans="1:22" ht="15.75" x14ac:dyDescent="0.25">
      <c r="A26" s="214" t="s">
        <v>147</v>
      </c>
      <c r="B26" s="215"/>
      <c r="C26" s="215"/>
      <c r="D26" s="216"/>
      <c r="E26" s="219">
        <v>2</v>
      </c>
      <c r="F26" s="220"/>
    </row>
    <row r="27" spans="1:22" ht="15.75" x14ac:dyDescent="0.25">
      <c r="A27" s="214" t="s">
        <v>148</v>
      </c>
      <c r="B27" s="215"/>
      <c r="C27" s="215"/>
      <c r="D27" s="216"/>
      <c r="E27" s="221">
        <f>Insumos!$B$6</f>
        <v>975.83</v>
      </c>
      <c r="F27" s="222"/>
    </row>
    <row r="28" spans="1:22" ht="15.75" x14ac:dyDescent="0.25">
      <c r="A28" s="214" t="s">
        <v>149</v>
      </c>
      <c r="B28" s="215"/>
      <c r="C28" s="215"/>
      <c r="D28" s="216"/>
      <c r="E28" s="217">
        <v>100000</v>
      </c>
      <c r="F28" s="217"/>
    </row>
    <row r="31" spans="1:22" ht="15.75" x14ac:dyDescent="0.25">
      <c r="A31" s="191" t="s">
        <v>3</v>
      </c>
      <c r="B31" s="192"/>
      <c r="C31" s="192"/>
      <c r="D31" s="192"/>
      <c r="E31" s="192"/>
      <c r="F31" s="192"/>
    </row>
    <row r="32" spans="1:22" ht="15.75" x14ac:dyDescent="0.25">
      <c r="A32" s="214" t="s">
        <v>19</v>
      </c>
      <c r="B32" s="215"/>
      <c r="C32" s="215"/>
      <c r="D32" s="216"/>
      <c r="E32" s="218">
        <f>Insumos!$B$7</f>
        <v>7.6</v>
      </c>
      <c r="F32" s="218"/>
    </row>
    <row r="33" spans="1:14" ht="15.75" x14ac:dyDescent="0.25">
      <c r="A33" s="214" t="s">
        <v>17</v>
      </c>
      <c r="B33" s="215"/>
      <c r="C33" s="215"/>
      <c r="D33" s="216"/>
      <c r="E33" s="46">
        <f>IF($F$7=$D$95,G103,IF($F$7=$D$107,G115,IF($F$7=$N$95,Q103,IF($F$7=$O$107,Q115,""))))</f>
        <v>2.6</v>
      </c>
      <c r="F33" s="50" t="s">
        <v>18</v>
      </c>
    </row>
    <row r="36" spans="1:14" ht="17.25" x14ac:dyDescent="0.3">
      <c r="A36" s="208" t="s">
        <v>20</v>
      </c>
      <c r="B36" s="209"/>
      <c r="C36" s="209"/>
      <c r="D36" s="209"/>
      <c r="E36" s="209"/>
    </row>
    <row r="37" spans="1:14" x14ac:dyDescent="0.25">
      <c r="B37" s="210"/>
      <c r="C37" s="210"/>
      <c r="D37" s="211"/>
      <c r="E37" s="212" t="s">
        <v>4</v>
      </c>
      <c r="F37" s="213"/>
    </row>
    <row r="38" spans="1:14" ht="15.75" x14ac:dyDescent="0.25">
      <c r="A38" s="46" t="s">
        <v>346</v>
      </c>
      <c r="B38" s="214" t="s">
        <v>52</v>
      </c>
      <c r="C38" s="215"/>
      <c r="D38" s="216"/>
      <c r="E38" s="46">
        <f>1/E33</f>
        <v>0.38461538461538458</v>
      </c>
      <c r="F38" s="7" t="s">
        <v>5</v>
      </c>
      <c r="G38" s="7"/>
      <c r="H38" s="7"/>
      <c r="I38" s="7"/>
      <c r="J38" s="7"/>
      <c r="K38" s="58">
        <f>E32*E38</f>
        <v>2.9230769230769225</v>
      </c>
      <c r="L38" s="51" t="s">
        <v>13</v>
      </c>
      <c r="N38" s="2"/>
    </row>
    <row r="39" spans="1:14" ht="15.75" x14ac:dyDescent="0.25">
      <c r="A39" s="46" t="s">
        <v>6</v>
      </c>
      <c r="B39" s="206" t="s">
        <v>152</v>
      </c>
      <c r="C39" s="206"/>
      <c r="D39" s="206"/>
      <c r="E39" s="46">
        <v>0.04</v>
      </c>
      <c r="F39" s="7" t="s">
        <v>5</v>
      </c>
      <c r="G39" s="7"/>
      <c r="H39" s="7"/>
      <c r="I39" s="7"/>
      <c r="J39" s="7"/>
      <c r="K39" s="58">
        <f>E39*E32</f>
        <v>0.30399999999999999</v>
      </c>
      <c r="L39" s="51" t="s">
        <v>13</v>
      </c>
    </row>
    <row r="40" spans="1:14" ht="15.75" x14ac:dyDescent="0.25">
      <c r="A40" s="46" t="s">
        <v>7</v>
      </c>
      <c r="B40" s="206" t="s">
        <v>8</v>
      </c>
      <c r="C40" s="206"/>
      <c r="D40" s="206"/>
      <c r="E40" s="46"/>
      <c r="F40" s="7"/>
      <c r="G40" s="7"/>
      <c r="H40" s="7"/>
      <c r="I40" s="7"/>
      <c r="J40" s="7"/>
      <c r="K40" s="58">
        <f>((E25*E24)+(E26*E24*E27))/E28</f>
        <v>0.26429400000000003</v>
      </c>
      <c r="L40" s="51" t="s">
        <v>13</v>
      </c>
    </row>
    <row r="41" spans="1:14" ht="15.75" x14ac:dyDescent="0.25">
      <c r="A41" s="46" t="s">
        <v>12</v>
      </c>
      <c r="B41" s="206" t="s">
        <v>153</v>
      </c>
      <c r="C41" s="206"/>
      <c r="D41" s="206"/>
      <c r="E41" s="70">
        <v>3.0000000000000001E-6</v>
      </c>
      <c r="F41" s="193" t="s">
        <v>10</v>
      </c>
      <c r="G41" s="193"/>
      <c r="H41" s="193"/>
      <c r="I41" s="7"/>
      <c r="J41" s="7"/>
      <c r="K41" s="58">
        <f>(E41*E12)-(K40)</f>
        <v>1.32891114</v>
      </c>
      <c r="L41" s="51" t="s">
        <v>13</v>
      </c>
    </row>
    <row r="42" spans="1:14" ht="15.75" x14ac:dyDescent="0.25">
      <c r="A42" s="207"/>
      <c r="B42" s="207"/>
      <c r="C42" s="207"/>
      <c r="D42" s="207"/>
      <c r="E42" s="207"/>
      <c r="F42" s="7"/>
      <c r="G42" s="7"/>
      <c r="H42" s="7"/>
      <c r="I42" s="7"/>
      <c r="J42" s="7"/>
      <c r="K42" s="58">
        <f>SUM(K38:K41)</f>
        <v>4.8202820630769221</v>
      </c>
      <c r="L42" s="51" t="s">
        <v>13</v>
      </c>
    </row>
    <row r="43" spans="1:14" ht="21" customHeight="1" x14ac:dyDescent="0.25">
      <c r="A43" s="200" t="s">
        <v>144</v>
      </c>
      <c r="B43" s="200"/>
      <c r="C43" s="200"/>
      <c r="D43" s="200"/>
      <c r="E43" s="200"/>
      <c r="F43" s="200"/>
      <c r="G43" s="200"/>
      <c r="H43" s="200"/>
      <c r="I43" s="200"/>
      <c r="J43" s="200"/>
      <c r="K43" s="68">
        <f>K42*O14</f>
        <v>3336.4064327793221</v>
      </c>
      <c r="L43" s="52" t="s">
        <v>16</v>
      </c>
    </row>
    <row r="45" spans="1:14" ht="18.75" x14ac:dyDescent="0.3">
      <c r="A45" s="190" t="s">
        <v>145</v>
      </c>
      <c r="B45" s="190"/>
      <c r="C45" s="190"/>
      <c r="D45" s="190"/>
      <c r="E45" s="190"/>
      <c r="F45" s="190"/>
      <c r="G45" s="190"/>
      <c r="H45" s="190"/>
      <c r="I45" s="190"/>
      <c r="J45" s="190"/>
      <c r="K45" s="65">
        <f>K42*O16*1.1514</f>
        <v>6993.0916869577277</v>
      </c>
      <c r="L45" s="53" t="s">
        <v>16</v>
      </c>
    </row>
    <row r="46" spans="1:14" ht="15.75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</row>
    <row r="47" spans="1:14" ht="18.75" x14ac:dyDescent="0.3">
      <c r="A47" s="190" t="s">
        <v>146</v>
      </c>
      <c r="B47" s="190"/>
      <c r="C47" s="190"/>
      <c r="D47" s="190"/>
      <c r="E47" s="190"/>
      <c r="F47" s="190"/>
      <c r="G47" s="190"/>
      <c r="H47" s="190"/>
      <c r="I47" s="190"/>
      <c r="J47" s="190"/>
      <c r="K47" s="65">
        <f>K43+K45</f>
        <v>10329.498119737051</v>
      </c>
      <c r="L47" s="54" t="s">
        <v>16</v>
      </c>
    </row>
    <row r="49" spans="1:12" ht="15.75" x14ac:dyDescent="0.25">
      <c r="A49" s="197" t="s">
        <v>21</v>
      </c>
      <c r="B49" s="204"/>
      <c r="C49" s="204"/>
      <c r="D49" s="204"/>
      <c r="E49" s="204"/>
      <c r="F49" s="7"/>
      <c r="G49" s="7"/>
      <c r="H49" s="7"/>
      <c r="I49" s="7"/>
      <c r="J49" s="7"/>
      <c r="K49" s="7"/>
      <c r="L49" s="7"/>
    </row>
    <row r="50" spans="1:12" ht="15.75" x14ac:dyDescent="0.25">
      <c r="A50" s="3"/>
      <c r="B50" s="45"/>
      <c r="C50" s="45"/>
      <c r="D50" s="45"/>
      <c r="E50" s="45"/>
      <c r="F50" s="7"/>
      <c r="G50" s="7"/>
      <c r="H50" s="205" t="s">
        <v>25</v>
      </c>
      <c r="I50" s="205"/>
      <c r="J50" s="7"/>
      <c r="K50" s="7"/>
      <c r="L50" s="7"/>
    </row>
    <row r="51" spans="1:12" ht="15.75" x14ac:dyDescent="0.25">
      <c r="A51" s="7" t="s">
        <v>22</v>
      </c>
      <c r="B51" s="7"/>
      <c r="C51" s="193" t="s">
        <v>24</v>
      </c>
      <c r="D51" s="193"/>
      <c r="E51" s="193"/>
      <c r="F51" s="193"/>
      <c r="G51" s="7"/>
      <c r="H51" s="195"/>
      <c r="I51" s="195"/>
      <c r="J51" s="58"/>
      <c r="K51" s="59">
        <f>IF(L51="LINEAR",'DEPRECIAÇÃO LINEAR'!H23,(VLOOKUP(E15,'DEPRECIAÇÃO LINEAR'!W12:AM25,17,0)))</f>
        <v>3983.0128500000005</v>
      </c>
      <c r="L51" s="55" t="s">
        <v>130</v>
      </c>
    </row>
    <row r="52" spans="1:12" ht="15.75" x14ac:dyDescent="0.25">
      <c r="A52" s="7" t="s">
        <v>26</v>
      </c>
      <c r="B52" s="7"/>
      <c r="C52" s="193" t="s">
        <v>27</v>
      </c>
      <c r="D52" s="193"/>
      <c r="E52" s="193"/>
      <c r="F52" s="193"/>
      <c r="G52" s="7"/>
      <c r="H52" s="7"/>
      <c r="I52" s="7"/>
      <c r="J52" s="58"/>
      <c r="K52" s="58"/>
      <c r="L52" s="7"/>
    </row>
    <row r="53" spans="1:12" ht="15.75" x14ac:dyDescent="0.25">
      <c r="A53" s="7"/>
      <c r="B53" s="7" t="s">
        <v>31</v>
      </c>
      <c r="C53" s="193" t="s">
        <v>28</v>
      </c>
      <c r="D53" s="193"/>
      <c r="E53" s="193"/>
      <c r="F53" s="193"/>
      <c r="G53" s="7"/>
      <c r="H53" s="7"/>
      <c r="I53" s="7"/>
      <c r="J53" s="58"/>
      <c r="K53" s="58">
        <f>'Motorista de Veiculo Pesado'!E90</f>
        <v>8468.4608078400015</v>
      </c>
      <c r="L53" s="7"/>
    </row>
    <row r="54" spans="1:12" ht="15.75" x14ac:dyDescent="0.25">
      <c r="A54" s="7"/>
      <c r="B54" s="7" t="s">
        <v>32</v>
      </c>
      <c r="C54" s="193" t="s">
        <v>29</v>
      </c>
      <c r="D54" s="193"/>
      <c r="E54" s="193"/>
      <c r="F54" s="193"/>
      <c r="G54" s="7"/>
      <c r="H54" s="7"/>
      <c r="I54" s="7"/>
      <c r="J54" s="58"/>
      <c r="K54" s="58">
        <f>'Monitor de Transporte Escolar'!E90</f>
        <v>4485.726463695999</v>
      </c>
      <c r="L54" s="7"/>
    </row>
    <row r="55" spans="1:12" ht="15.75" x14ac:dyDescent="0.25">
      <c r="A55" s="7" t="s">
        <v>30</v>
      </c>
      <c r="B55" s="7"/>
      <c r="C55" s="193" t="s">
        <v>34</v>
      </c>
      <c r="D55" s="193"/>
      <c r="E55" s="193"/>
      <c r="F55" s="193"/>
      <c r="G55" s="7"/>
      <c r="H55" s="7"/>
      <c r="I55" s="7"/>
      <c r="J55" s="58"/>
      <c r="K55" s="58"/>
      <c r="L55" s="56"/>
    </row>
    <row r="56" spans="1:12" ht="15.75" x14ac:dyDescent="0.25">
      <c r="A56" s="7"/>
      <c r="B56" s="7" t="s">
        <v>33</v>
      </c>
      <c r="C56" s="7" t="s">
        <v>35</v>
      </c>
      <c r="D56" s="7"/>
      <c r="E56" s="7"/>
      <c r="F56" s="7"/>
      <c r="G56" s="7"/>
      <c r="H56" s="7"/>
      <c r="I56" s="7"/>
      <c r="J56" s="58">
        <f>1/100*E12</f>
        <v>5310.6837999999998</v>
      </c>
      <c r="K56" s="58">
        <f>J56/12</f>
        <v>442.55698333333333</v>
      </c>
      <c r="L56" s="7"/>
    </row>
    <row r="57" spans="1:12" ht="15.75" x14ac:dyDescent="0.25">
      <c r="A57" s="7"/>
      <c r="B57" s="7" t="s">
        <v>36</v>
      </c>
      <c r="C57" s="7" t="s">
        <v>37</v>
      </c>
      <c r="D57" s="7"/>
      <c r="E57" s="7"/>
      <c r="F57" s="7"/>
      <c r="G57" s="7"/>
      <c r="H57" s="7"/>
      <c r="I57" s="7"/>
      <c r="J57" s="58">
        <v>230.25</v>
      </c>
      <c r="K57" s="58">
        <f>J57/12</f>
        <v>19.1875</v>
      </c>
      <c r="L57" s="7"/>
    </row>
    <row r="58" spans="1:12" ht="15.75" x14ac:dyDescent="0.25">
      <c r="A58" s="7"/>
      <c r="B58" s="7" t="s">
        <v>38</v>
      </c>
      <c r="C58" s="193" t="s">
        <v>39</v>
      </c>
      <c r="D58" s="193"/>
      <c r="E58" s="193"/>
      <c r="F58" s="193"/>
      <c r="G58" s="7"/>
      <c r="H58" s="7"/>
      <c r="I58" s="7"/>
      <c r="J58" s="58">
        <v>161.80000000000001</v>
      </c>
      <c r="K58" s="58">
        <f>J58/12</f>
        <v>13.483333333333334</v>
      </c>
      <c r="L58" s="7"/>
    </row>
    <row r="59" spans="1:12" ht="15.75" x14ac:dyDescent="0.25">
      <c r="A59" s="7" t="s">
        <v>41</v>
      </c>
      <c r="B59" s="7"/>
      <c r="C59" s="7" t="s">
        <v>40</v>
      </c>
      <c r="D59" s="7"/>
      <c r="E59" s="7"/>
      <c r="F59" s="7"/>
      <c r="G59" s="7"/>
      <c r="H59" s="7"/>
      <c r="I59" s="7"/>
      <c r="J59" s="58">
        <v>0</v>
      </c>
      <c r="K59" s="58">
        <f>J59/12</f>
        <v>0</v>
      </c>
      <c r="L59" s="7"/>
    </row>
    <row r="60" spans="1:12" ht="15.75" x14ac:dyDescent="0.25">
      <c r="A60" s="7" t="s">
        <v>57</v>
      </c>
      <c r="B60" s="7"/>
      <c r="C60" s="193" t="s">
        <v>58</v>
      </c>
      <c r="D60" s="193"/>
      <c r="E60" s="193"/>
      <c r="F60" s="193"/>
      <c r="G60" s="193"/>
      <c r="H60" s="7"/>
      <c r="I60" s="7"/>
      <c r="J60" s="58">
        <f>Insumos!$B$8</f>
        <v>350.88</v>
      </c>
      <c r="K60" s="58">
        <f>4*J60</f>
        <v>1403.52</v>
      </c>
      <c r="L60" s="7"/>
    </row>
    <row r="61" spans="1:12" ht="15.75" x14ac:dyDescent="0.25">
      <c r="A61" s="7" t="s">
        <v>60</v>
      </c>
      <c r="B61" s="7"/>
      <c r="C61" s="45" t="s">
        <v>63</v>
      </c>
      <c r="D61" s="45"/>
      <c r="E61" s="45"/>
      <c r="F61" s="45"/>
      <c r="G61" s="45"/>
      <c r="H61" s="7"/>
      <c r="I61" s="7"/>
      <c r="J61" s="58">
        <f>Insumos!$B$9</f>
        <v>2680.95</v>
      </c>
      <c r="K61" s="58">
        <f>J61/12</f>
        <v>223.41249999999999</v>
      </c>
      <c r="L61" s="7"/>
    </row>
    <row r="62" spans="1:12" ht="15.75" x14ac:dyDescent="0.25">
      <c r="A62" s="7" t="s">
        <v>61</v>
      </c>
      <c r="B62" s="7"/>
      <c r="C62" s="193" t="s">
        <v>62</v>
      </c>
      <c r="D62" s="193"/>
      <c r="E62" s="193"/>
      <c r="F62" s="45"/>
      <c r="G62" s="45"/>
      <c r="H62" s="7"/>
      <c r="I62" s="7"/>
      <c r="J62" s="60">
        <f>Insumos!$B$10</f>
        <v>932.23</v>
      </c>
      <c r="K62" s="58">
        <f>J62/12</f>
        <v>77.685833333333335</v>
      </c>
      <c r="L62" s="7"/>
    </row>
    <row r="63" spans="1:12" ht="15.75" x14ac:dyDescent="0.25">
      <c r="A63" s="7" t="s">
        <v>142</v>
      </c>
      <c r="B63" s="7"/>
      <c r="C63" s="203" t="s">
        <v>143</v>
      </c>
      <c r="D63" s="203"/>
      <c r="E63" s="203"/>
      <c r="F63" s="203"/>
      <c r="G63" s="164"/>
      <c r="H63" s="7"/>
      <c r="I63" s="7"/>
      <c r="J63" s="60">
        <f>Insumos!$B$11</f>
        <v>471.82</v>
      </c>
      <c r="K63" s="72">
        <f>J63/24</f>
        <v>19.659166666666668</v>
      </c>
      <c r="L63" s="7"/>
    </row>
    <row r="64" spans="1:12" ht="15.75" x14ac:dyDescent="0.25">
      <c r="A64" s="7" t="s">
        <v>340</v>
      </c>
      <c r="B64" s="7"/>
      <c r="C64" s="165" t="s">
        <v>343</v>
      </c>
      <c r="D64" s="165"/>
      <c r="E64" s="165"/>
      <c r="F64" s="165"/>
      <c r="G64" s="164"/>
      <c r="H64" s="7"/>
      <c r="I64" s="7"/>
      <c r="J64" s="60">
        <f>Insumos!$B$12</f>
        <v>14.372399999999997</v>
      </c>
      <c r="K64" s="72">
        <f>J64/60</f>
        <v>0.23953999999999995</v>
      </c>
      <c r="L64" s="7"/>
    </row>
    <row r="65" spans="1:13" ht="20.25" customHeight="1" x14ac:dyDescent="0.25">
      <c r="A65" s="259" t="s">
        <v>43</v>
      </c>
      <c r="B65" s="260"/>
      <c r="C65" s="260"/>
      <c r="D65" s="260"/>
      <c r="E65" s="260"/>
      <c r="F65" s="260"/>
      <c r="G65" s="260"/>
      <c r="H65" s="260"/>
      <c r="I65" s="260"/>
      <c r="J65" s="261"/>
      <c r="K65" s="67">
        <f>SUM(K51:K64)</f>
        <v>19136.944978202664</v>
      </c>
      <c r="L65" s="57" t="s">
        <v>16</v>
      </c>
      <c r="M65" s="4"/>
    </row>
    <row r="67" spans="1:13" ht="19.5" customHeight="1" x14ac:dyDescent="0.3">
      <c r="A67" s="262" t="s">
        <v>132</v>
      </c>
      <c r="B67" s="263"/>
      <c r="C67" s="263"/>
      <c r="D67" s="263"/>
      <c r="E67" s="263"/>
      <c r="F67" s="263"/>
      <c r="G67" s="263"/>
      <c r="H67" s="263"/>
      <c r="I67" s="264"/>
      <c r="K67" s="66">
        <f>K47+K65</f>
        <v>29466.443097939715</v>
      </c>
    </row>
    <row r="69" spans="1:13" ht="15.75" x14ac:dyDescent="0.25">
      <c r="A69" s="254" t="s">
        <v>133</v>
      </c>
      <c r="B69" s="255"/>
      <c r="C69" s="255"/>
      <c r="D69" s="255"/>
      <c r="E69" s="256"/>
      <c r="I69" s="265" t="s">
        <v>55</v>
      </c>
      <c r="J69" s="266"/>
    </row>
    <row r="70" spans="1:13" ht="15.75" x14ac:dyDescent="0.25">
      <c r="A70" s="7" t="s">
        <v>341</v>
      </c>
      <c r="B70" s="7"/>
      <c r="C70" s="193" t="s">
        <v>54</v>
      </c>
      <c r="D70" s="193"/>
      <c r="E70" s="193"/>
      <c r="F70" s="193"/>
      <c r="G70" s="7"/>
      <c r="H70" s="7"/>
      <c r="I70" s="168">
        <f>Insumos!$B$15</f>
        <v>2.6599999999999999E-2</v>
      </c>
      <c r="J70" s="7"/>
      <c r="K70" s="58">
        <f>I70*K67</f>
        <v>783.80738640519633</v>
      </c>
      <c r="L70" s="7"/>
    </row>
    <row r="71" spans="1:13" ht="15.75" x14ac:dyDescent="0.25">
      <c r="A71" s="7" t="s">
        <v>342</v>
      </c>
      <c r="B71" s="7"/>
      <c r="C71" s="193" t="s">
        <v>59</v>
      </c>
      <c r="D71" s="193"/>
      <c r="E71" s="193"/>
      <c r="F71" s="193"/>
      <c r="G71" s="7"/>
      <c r="H71" s="7"/>
      <c r="I71" s="169">
        <f>Insumos!$B$16</f>
        <v>0.04</v>
      </c>
      <c r="J71" s="7"/>
      <c r="K71" s="58">
        <f>I71*(K67+K70)</f>
        <v>1210.0100193737965</v>
      </c>
      <c r="L71" s="7"/>
    </row>
    <row r="72" spans="1:13" ht="18.75" x14ac:dyDescent="0.3">
      <c r="A72" s="7"/>
      <c r="B72" s="7"/>
      <c r="C72" s="7"/>
      <c r="D72" s="7"/>
      <c r="E72" s="7"/>
      <c r="F72" s="7"/>
      <c r="G72" s="7"/>
      <c r="H72" s="7"/>
      <c r="I72" s="7"/>
      <c r="J72" s="61" t="s">
        <v>131</v>
      </c>
      <c r="K72" s="65">
        <f>SUM(K70:K71)</f>
        <v>1993.8174057789929</v>
      </c>
      <c r="L72" s="54" t="s">
        <v>16</v>
      </c>
    </row>
    <row r="74" spans="1:13" ht="15.75" x14ac:dyDescent="0.25">
      <c r="A74" s="254" t="s">
        <v>134</v>
      </c>
      <c r="B74" s="255"/>
      <c r="C74" s="255"/>
      <c r="D74" s="255"/>
      <c r="E74" s="256"/>
      <c r="F74" s="7"/>
      <c r="G74" s="7"/>
      <c r="H74" s="7"/>
      <c r="I74" s="7"/>
      <c r="J74" s="7"/>
      <c r="K74" s="7"/>
      <c r="L74" s="7"/>
    </row>
    <row r="75" spans="1:13" ht="15.75" x14ac:dyDescent="0.25">
      <c r="A75" s="193" t="s">
        <v>42</v>
      </c>
      <c r="B75" s="193"/>
      <c r="C75" s="193"/>
      <c r="D75" s="193"/>
      <c r="E75" s="193"/>
      <c r="F75" s="193"/>
      <c r="G75" s="7"/>
      <c r="H75" s="7"/>
      <c r="I75" s="219" t="s">
        <v>47</v>
      </c>
      <c r="J75" s="220"/>
      <c r="K75" s="51">
        <f>K67+K72</f>
        <v>31460.26050371871</v>
      </c>
      <c r="L75" s="7"/>
    </row>
    <row r="76" spans="1:13" ht="15.75" x14ac:dyDescent="0.25">
      <c r="A76" s="7" t="s">
        <v>53</v>
      </c>
      <c r="C76" s="7" t="s">
        <v>44</v>
      </c>
      <c r="D76" s="7"/>
      <c r="E76" s="7"/>
      <c r="F76" s="7"/>
      <c r="G76" s="7"/>
      <c r="H76" s="7"/>
      <c r="I76" s="257">
        <f>Insumos!$B$18</f>
        <v>0.05</v>
      </c>
      <c r="J76" s="258"/>
      <c r="K76" s="51">
        <f>$K$75/(1-(SUM($I$76:$J$78)))*I76</f>
        <v>1721.9628080853154</v>
      </c>
      <c r="L76" s="7"/>
    </row>
    <row r="77" spans="1:13" ht="15.75" x14ac:dyDescent="0.25">
      <c r="A77" s="7" t="s">
        <v>344</v>
      </c>
      <c r="C77" s="7" t="s">
        <v>45</v>
      </c>
      <c r="D77" s="7"/>
      <c r="E77" s="7"/>
      <c r="F77" s="7"/>
      <c r="G77" s="7"/>
      <c r="H77" s="7"/>
      <c r="I77" s="257">
        <f>Insumos!$B$19</f>
        <v>6.4999999999999997E-3</v>
      </c>
      <c r="J77" s="258"/>
      <c r="K77" s="51">
        <f>$K$75/(1-(SUM($I$76:$J$78)))*I77</f>
        <v>223.85516505109098</v>
      </c>
      <c r="L77" s="7"/>
    </row>
    <row r="78" spans="1:13" ht="15.75" x14ac:dyDescent="0.25">
      <c r="A78" s="7" t="s">
        <v>345</v>
      </c>
      <c r="C78" s="7" t="s">
        <v>46</v>
      </c>
      <c r="D78" s="7"/>
      <c r="E78" s="7"/>
      <c r="F78" s="7"/>
      <c r="G78" s="7"/>
      <c r="H78" s="7"/>
      <c r="I78" s="257">
        <f>Insumos!$B$20</f>
        <v>0.03</v>
      </c>
      <c r="J78" s="258"/>
      <c r="K78" s="51">
        <f>$K$75/(1-(SUM($I$76:$J$78)))*I78</f>
        <v>1033.177684851189</v>
      </c>
      <c r="L78" s="7"/>
    </row>
    <row r="79" spans="1:13" ht="21" customHeight="1" x14ac:dyDescent="0.3">
      <c r="A79" s="251" t="s">
        <v>48</v>
      </c>
      <c r="B79" s="252"/>
      <c r="C79" s="252"/>
      <c r="D79" s="252"/>
      <c r="E79" s="252"/>
      <c r="F79" s="252"/>
      <c r="G79" s="252"/>
      <c r="H79" s="252"/>
      <c r="I79" s="252"/>
      <c r="J79" s="253"/>
      <c r="K79" s="64">
        <f>SUM(K76:K78)</f>
        <v>2978.9956579875952</v>
      </c>
      <c r="L79" s="54" t="s">
        <v>16</v>
      </c>
    </row>
    <row r="81" spans="1:20" x14ac:dyDescent="0.25">
      <c r="C81" s="5"/>
      <c r="D81" s="5"/>
      <c r="E81" s="5"/>
      <c r="F81" s="5"/>
      <c r="K81" s="2"/>
    </row>
    <row r="82" spans="1:20" ht="15.75" x14ac:dyDescent="0.25">
      <c r="A82" s="191" t="s">
        <v>56</v>
      </c>
      <c r="B82" s="191"/>
      <c r="C82" s="191"/>
      <c r="D82" s="191"/>
      <c r="E82" s="191"/>
      <c r="F82" s="191"/>
      <c r="G82" s="191"/>
      <c r="H82" s="191"/>
      <c r="I82" s="191"/>
      <c r="T82" s="43"/>
    </row>
    <row r="83" spans="1:20" ht="15.75" x14ac:dyDescent="0.25">
      <c r="A83" s="6"/>
      <c r="B83" s="6"/>
      <c r="C83" s="6"/>
      <c r="D83" s="6"/>
      <c r="E83" s="6"/>
      <c r="F83" s="6"/>
      <c r="G83" s="6"/>
      <c r="H83" s="6"/>
      <c r="I83" s="6"/>
    </row>
    <row r="84" spans="1:20" ht="15.75" x14ac:dyDescent="0.25">
      <c r="A84" s="191" t="s">
        <v>51</v>
      </c>
      <c r="B84" s="192"/>
      <c r="C84" s="192"/>
      <c r="D84" s="192"/>
      <c r="E84" s="192"/>
      <c r="F84" s="192"/>
      <c r="G84" s="192"/>
      <c r="H84" s="192"/>
    </row>
    <row r="85" spans="1:20" ht="20.25" customHeight="1" x14ac:dyDescent="0.3">
      <c r="A85" s="193" t="s">
        <v>135</v>
      </c>
      <c r="B85" s="193"/>
      <c r="C85" s="193"/>
      <c r="D85" s="193"/>
      <c r="E85" s="193"/>
      <c r="F85" s="193"/>
      <c r="G85" s="193"/>
      <c r="H85" s="193"/>
      <c r="I85" s="193"/>
      <c r="J85" s="193"/>
      <c r="K85" s="62">
        <f>K67+K72+K79</f>
        <v>34439.256161706304</v>
      </c>
    </row>
    <row r="86" spans="1:20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2"/>
    </row>
    <row r="87" spans="1:20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2"/>
      <c r="P87" s="42"/>
    </row>
    <row r="88" spans="1:20" ht="8.25" customHeight="1" x14ac:dyDescent="0.25"/>
    <row r="89" spans="1:20" ht="16.5" customHeight="1" x14ac:dyDescent="0.25">
      <c r="A89" s="194" t="s">
        <v>49</v>
      </c>
      <c r="B89" s="195"/>
      <c r="C89" s="195"/>
      <c r="D89" s="195"/>
      <c r="E89" s="195"/>
      <c r="F89" s="195"/>
      <c r="G89" s="195"/>
      <c r="H89" s="195"/>
      <c r="I89" s="195"/>
      <c r="J89" s="195"/>
      <c r="K89" s="7"/>
      <c r="L89" s="7"/>
    </row>
    <row r="90" spans="1:20" ht="24.75" customHeight="1" x14ac:dyDescent="0.3">
      <c r="A90" s="196" t="s">
        <v>141</v>
      </c>
      <c r="B90" s="196"/>
      <c r="C90" s="196"/>
      <c r="D90" s="196"/>
      <c r="E90" s="196"/>
      <c r="F90" s="196"/>
      <c r="G90" s="196"/>
      <c r="H90" s="196"/>
      <c r="I90" s="196"/>
      <c r="J90" s="196"/>
      <c r="K90" s="71">
        <f>K85/O18</f>
        <v>17.64161552419182</v>
      </c>
      <c r="L90" s="63" t="s">
        <v>50</v>
      </c>
    </row>
    <row r="94" spans="1:20" s="10" customFormat="1" x14ac:dyDescent="0.25"/>
    <row r="95" spans="1:20" s="11" customFormat="1" ht="18.75" x14ac:dyDescent="0.3">
      <c r="B95" s="12" t="s">
        <v>69</v>
      </c>
      <c r="D95" s="188" t="s">
        <v>65</v>
      </c>
      <c r="E95" s="188"/>
      <c r="L95" s="12" t="s">
        <v>69</v>
      </c>
      <c r="M95" s="12"/>
      <c r="N95" s="12" t="s">
        <v>75</v>
      </c>
      <c r="O95" s="12"/>
    </row>
    <row r="96" spans="1:20" s="11" customFormat="1" x14ac:dyDescent="0.25"/>
    <row r="97" spans="2:18" s="11" customFormat="1" x14ac:dyDescent="0.25">
      <c r="B97" s="184" t="s">
        <v>66</v>
      </c>
      <c r="C97" s="184"/>
      <c r="D97" s="13"/>
      <c r="E97" s="13"/>
      <c r="F97" s="189">
        <v>288912</v>
      </c>
      <c r="G97" s="189"/>
      <c r="L97" s="13" t="s">
        <v>66</v>
      </c>
      <c r="M97" s="13"/>
      <c r="N97" s="13"/>
      <c r="O97" s="13"/>
      <c r="P97" s="13"/>
      <c r="Q97" s="30">
        <v>271500</v>
      </c>
    </row>
    <row r="98" spans="2:18" s="11" customFormat="1" x14ac:dyDescent="0.25">
      <c r="B98" s="13" t="s">
        <v>67</v>
      </c>
      <c r="D98" s="13"/>
      <c r="E98" s="13"/>
      <c r="F98" s="185">
        <v>10</v>
      </c>
      <c r="G98" s="185"/>
      <c r="H98" s="11" t="s">
        <v>154</v>
      </c>
      <c r="L98" s="13" t="s">
        <v>67</v>
      </c>
      <c r="M98" s="13"/>
      <c r="N98" s="13"/>
      <c r="O98" s="13"/>
      <c r="P98" s="13"/>
      <c r="Q98" s="13">
        <v>10</v>
      </c>
      <c r="R98" s="11" t="s">
        <v>154</v>
      </c>
    </row>
    <row r="99" spans="2:18" s="11" customFormat="1" x14ac:dyDescent="0.25">
      <c r="B99" s="13" t="s">
        <v>81</v>
      </c>
      <c r="D99" s="13"/>
      <c r="E99" s="13"/>
      <c r="F99" s="14"/>
      <c r="G99" s="14">
        <v>2018</v>
      </c>
      <c r="L99" s="13" t="s">
        <v>81</v>
      </c>
      <c r="N99" s="13"/>
      <c r="O99" s="13"/>
      <c r="P99" s="14"/>
      <c r="Q99" s="14">
        <v>2018</v>
      </c>
    </row>
    <row r="100" spans="2:18" s="11" customFormat="1" x14ac:dyDescent="0.25">
      <c r="B100" s="184" t="s">
        <v>68</v>
      </c>
      <c r="C100" s="184"/>
      <c r="D100" s="184"/>
      <c r="F100" s="185">
        <v>6</v>
      </c>
      <c r="G100" s="185"/>
      <c r="L100" s="13" t="s">
        <v>76</v>
      </c>
      <c r="M100" s="13"/>
      <c r="N100" s="13"/>
      <c r="O100" s="13"/>
      <c r="P100" s="13"/>
      <c r="Q100" s="13">
        <v>6</v>
      </c>
    </row>
    <row r="101" spans="2:18" s="11" customFormat="1" x14ac:dyDescent="0.25">
      <c r="B101" s="184" t="s">
        <v>71</v>
      </c>
      <c r="C101" s="184"/>
      <c r="D101" s="184"/>
      <c r="F101" s="14"/>
      <c r="G101" s="17">
        <v>100000</v>
      </c>
      <c r="L101" s="13" t="s">
        <v>71</v>
      </c>
      <c r="M101" s="13"/>
      <c r="N101" s="13"/>
      <c r="O101" s="13"/>
      <c r="P101" s="13"/>
      <c r="Q101" s="19">
        <v>100000</v>
      </c>
    </row>
    <row r="102" spans="2:18" s="11" customFormat="1" x14ac:dyDescent="0.25">
      <c r="B102" s="184" t="s">
        <v>72</v>
      </c>
      <c r="C102" s="184"/>
      <c r="D102" s="184"/>
      <c r="F102" s="14"/>
      <c r="G102" s="20">
        <v>1533.77</v>
      </c>
      <c r="L102" s="13" t="s">
        <v>72</v>
      </c>
      <c r="M102" s="13"/>
      <c r="N102" s="13"/>
      <c r="O102" s="13"/>
      <c r="P102" s="13"/>
      <c r="Q102" s="69">
        <v>860.69</v>
      </c>
    </row>
    <row r="103" spans="2:18" s="11" customFormat="1" x14ac:dyDescent="0.25">
      <c r="B103" s="184" t="s">
        <v>73</v>
      </c>
      <c r="C103" s="184"/>
      <c r="D103" s="15"/>
      <c r="F103" s="14"/>
      <c r="G103" s="14">
        <v>2.6</v>
      </c>
      <c r="H103" s="13" t="s">
        <v>74</v>
      </c>
      <c r="L103" s="13" t="s">
        <v>73</v>
      </c>
      <c r="M103" s="13"/>
      <c r="N103" s="13"/>
      <c r="O103" s="13"/>
      <c r="P103" s="13"/>
      <c r="Q103" s="13">
        <v>4.7</v>
      </c>
    </row>
    <row r="104" spans="2:18" s="11" customFormat="1" x14ac:dyDescent="0.25">
      <c r="B104" s="184" t="s">
        <v>70</v>
      </c>
      <c r="C104" s="184"/>
      <c r="D104" s="184"/>
      <c r="F104" s="185" t="s">
        <v>125</v>
      </c>
      <c r="G104" s="185"/>
      <c r="L104" s="13" t="s">
        <v>70</v>
      </c>
      <c r="M104" s="13"/>
      <c r="N104" s="13"/>
      <c r="O104" s="13"/>
      <c r="P104" s="13"/>
      <c r="Q104" s="13" t="s">
        <v>124</v>
      </c>
    </row>
    <row r="105" spans="2:18" s="11" customFormat="1" x14ac:dyDescent="0.25"/>
    <row r="106" spans="2:18" s="11" customFormat="1" x14ac:dyDescent="0.25"/>
    <row r="107" spans="2:18" s="11" customFormat="1" ht="18.75" x14ac:dyDescent="0.3">
      <c r="B107" s="12" t="s">
        <v>69</v>
      </c>
      <c r="C107" s="12"/>
      <c r="D107" s="12" t="s">
        <v>77</v>
      </c>
      <c r="E107" s="13"/>
      <c r="F107" s="13"/>
      <c r="G107" s="13"/>
      <c r="H107" s="13"/>
      <c r="L107" s="12" t="s">
        <v>69</v>
      </c>
      <c r="M107" s="16"/>
      <c r="N107" s="16"/>
      <c r="O107" s="12" t="s">
        <v>78</v>
      </c>
    </row>
    <row r="108" spans="2:18" s="11" customFormat="1" x14ac:dyDescent="0.25">
      <c r="B108" s="13"/>
      <c r="C108" s="13"/>
      <c r="D108" s="13"/>
      <c r="E108" s="13"/>
      <c r="F108" s="13"/>
      <c r="G108" s="13"/>
      <c r="H108" s="13"/>
    </row>
    <row r="109" spans="2:18" s="11" customFormat="1" x14ac:dyDescent="0.25">
      <c r="B109" s="184" t="s">
        <v>66</v>
      </c>
      <c r="C109" s="184"/>
      <c r="D109" s="13"/>
      <c r="E109" s="13"/>
      <c r="F109" s="185">
        <v>400</v>
      </c>
      <c r="G109" s="185"/>
      <c r="H109" s="13"/>
      <c r="L109" s="184" t="s">
        <v>66</v>
      </c>
      <c r="M109" s="184"/>
      <c r="N109" s="13"/>
      <c r="O109" s="13"/>
      <c r="P109" s="185" t="s">
        <v>78</v>
      </c>
      <c r="Q109" s="185"/>
      <c r="R109" s="13"/>
    </row>
    <row r="110" spans="2:18" s="11" customFormat="1" x14ac:dyDescent="0.25">
      <c r="B110" s="13" t="s">
        <v>67</v>
      </c>
      <c r="C110" s="13"/>
      <c r="D110" s="13"/>
      <c r="E110" s="13"/>
      <c r="F110" s="185">
        <v>10</v>
      </c>
      <c r="G110" s="185"/>
      <c r="H110" s="13" t="s">
        <v>154</v>
      </c>
      <c r="L110" s="13" t="s">
        <v>67</v>
      </c>
      <c r="M110" s="13"/>
      <c r="N110" s="13"/>
      <c r="O110" s="13"/>
      <c r="P110" s="185">
        <v>8</v>
      </c>
      <c r="Q110" s="185"/>
      <c r="R110" s="13" t="s">
        <v>154</v>
      </c>
    </row>
    <row r="111" spans="2:18" s="11" customFormat="1" x14ac:dyDescent="0.25">
      <c r="B111" s="13" t="s">
        <v>81</v>
      </c>
      <c r="D111" s="13"/>
      <c r="E111" s="13"/>
      <c r="F111" s="14"/>
      <c r="G111" s="14" t="s">
        <v>82</v>
      </c>
      <c r="L111" s="13" t="s">
        <v>81</v>
      </c>
      <c r="N111" s="13"/>
      <c r="O111" s="13"/>
      <c r="P111" s="14"/>
      <c r="Q111" s="14" t="s">
        <v>83</v>
      </c>
      <c r="R111" s="13"/>
    </row>
    <row r="112" spans="2:18" s="11" customFormat="1" x14ac:dyDescent="0.25">
      <c r="B112" s="184" t="s">
        <v>68</v>
      </c>
      <c r="C112" s="184"/>
      <c r="D112" s="184"/>
      <c r="E112" s="13"/>
      <c r="F112" s="185" t="s">
        <v>87</v>
      </c>
      <c r="G112" s="185"/>
      <c r="H112" s="13"/>
      <c r="L112" s="184" t="s">
        <v>68</v>
      </c>
      <c r="M112" s="184"/>
      <c r="N112" s="184"/>
      <c r="O112" s="13"/>
      <c r="P112" s="185" t="s">
        <v>88</v>
      </c>
      <c r="Q112" s="185"/>
      <c r="R112" s="13"/>
    </row>
    <row r="113" spans="2:21" s="11" customFormat="1" x14ac:dyDescent="0.25">
      <c r="B113" s="184" t="s">
        <v>71</v>
      </c>
      <c r="C113" s="184"/>
      <c r="D113" s="184"/>
      <c r="E113" s="13"/>
      <c r="F113" s="14"/>
      <c r="G113" s="14" t="s">
        <v>89</v>
      </c>
      <c r="H113" s="13"/>
      <c r="L113" s="184" t="s">
        <v>71</v>
      </c>
      <c r="M113" s="184"/>
      <c r="N113" s="184"/>
      <c r="O113" s="13"/>
      <c r="P113" s="14"/>
      <c r="Q113" s="14" t="s">
        <v>90</v>
      </c>
      <c r="R113" s="13"/>
    </row>
    <row r="114" spans="2:21" s="11" customFormat="1" x14ac:dyDescent="0.25">
      <c r="B114" s="184" t="s">
        <v>72</v>
      </c>
      <c r="C114" s="184"/>
      <c r="D114" s="184"/>
      <c r="E114" s="13"/>
      <c r="F114" s="14"/>
      <c r="G114" s="14">
        <v>400</v>
      </c>
      <c r="H114" s="13"/>
      <c r="L114" s="184" t="s">
        <v>72</v>
      </c>
      <c r="M114" s="184"/>
      <c r="N114" s="184"/>
      <c r="O114" s="13"/>
      <c r="P114" s="14"/>
      <c r="Q114" s="14">
        <v>4444</v>
      </c>
      <c r="R114" s="13"/>
    </row>
    <row r="115" spans="2:21" s="11" customFormat="1" x14ac:dyDescent="0.25">
      <c r="B115" s="184" t="s">
        <v>73</v>
      </c>
      <c r="C115" s="184"/>
      <c r="D115" s="15"/>
      <c r="E115" s="13"/>
      <c r="F115" s="14"/>
      <c r="G115" s="14">
        <v>2</v>
      </c>
      <c r="H115" s="13" t="s">
        <v>74</v>
      </c>
      <c r="L115" s="184" t="s">
        <v>73</v>
      </c>
      <c r="M115" s="184"/>
      <c r="N115" s="15"/>
      <c r="O115" s="13"/>
      <c r="P115" s="14"/>
      <c r="Q115" s="14">
        <v>4</v>
      </c>
      <c r="R115" s="13" t="s">
        <v>74</v>
      </c>
    </row>
    <row r="116" spans="2:21" s="11" customFormat="1" x14ac:dyDescent="0.25">
      <c r="B116" s="184" t="s">
        <v>70</v>
      </c>
      <c r="C116" s="184"/>
      <c r="D116" s="184"/>
      <c r="E116" s="13"/>
      <c r="F116" s="185" t="s">
        <v>85</v>
      </c>
      <c r="G116" s="185"/>
      <c r="H116" s="13"/>
      <c r="L116" s="184" t="s">
        <v>70</v>
      </c>
      <c r="M116" s="184"/>
      <c r="N116" s="184"/>
      <c r="O116" s="13"/>
      <c r="P116" s="185" t="s">
        <v>86</v>
      </c>
      <c r="Q116" s="185"/>
      <c r="R116" s="13"/>
    </row>
    <row r="117" spans="2:21" s="11" customFormat="1" x14ac:dyDescent="0.25"/>
    <row r="118" spans="2:21" s="11" customFormat="1" x14ac:dyDescent="0.25"/>
    <row r="119" spans="2:21" s="11" customFormat="1" ht="18.75" x14ac:dyDescent="0.3">
      <c r="Q119" s="12" t="s">
        <v>65</v>
      </c>
      <c r="R119" s="12"/>
      <c r="T119" s="13" t="s">
        <v>130</v>
      </c>
      <c r="U119" s="13"/>
    </row>
    <row r="120" spans="2:21" s="11" customFormat="1" ht="18.75" x14ac:dyDescent="0.3">
      <c r="Q120" s="12" t="s">
        <v>75</v>
      </c>
      <c r="T120" s="13" t="s">
        <v>129</v>
      </c>
      <c r="U120" s="13"/>
    </row>
    <row r="121" spans="2:21" s="11" customFormat="1" ht="18.75" x14ac:dyDescent="0.3">
      <c r="Q121" s="12" t="s">
        <v>77</v>
      </c>
    </row>
    <row r="122" spans="2:21" s="11" customFormat="1" ht="18" customHeight="1" x14ac:dyDescent="0.3">
      <c r="B122" s="186" t="s">
        <v>172</v>
      </c>
      <c r="C122" s="186"/>
      <c r="Q122" s="12" t="s">
        <v>78</v>
      </c>
    </row>
    <row r="123" spans="2:21" ht="0.75" hidden="1" customHeight="1" x14ac:dyDescent="0.25">
      <c r="B123" s="186"/>
      <c r="C123" s="186"/>
    </row>
    <row r="124" spans="2:21" hidden="1" x14ac:dyDescent="0.25">
      <c r="B124" s="186"/>
      <c r="C124" s="186"/>
    </row>
    <row r="125" spans="2:21" x14ac:dyDescent="0.25">
      <c r="B125" s="186"/>
      <c r="C125" s="186"/>
    </row>
    <row r="126" spans="2:21" ht="24.75" x14ac:dyDescent="0.25">
      <c r="B126" s="94" t="s">
        <v>173</v>
      </c>
      <c r="C126" s="9" t="s">
        <v>174</v>
      </c>
      <c r="D126" s="9"/>
      <c r="E126" s="9"/>
      <c r="F126" s="9" t="s">
        <v>175</v>
      </c>
      <c r="G126" s="9"/>
      <c r="H126" s="9"/>
      <c r="I126" s="9" t="s">
        <v>176</v>
      </c>
      <c r="J126" s="9"/>
      <c r="K126" s="9"/>
      <c r="L126" s="9" t="s">
        <v>177</v>
      </c>
      <c r="M126" s="9"/>
      <c r="N126" s="9"/>
    </row>
    <row r="127" spans="2:21" x14ac:dyDescent="0.25">
      <c r="B127" s="5">
        <v>40</v>
      </c>
      <c r="C127" s="2">
        <f>$K$42*(B127*21)</f>
        <v>4049.0369329846144</v>
      </c>
      <c r="F127" s="2">
        <f>(C127+$K$65)*0.05</f>
        <v>1159.2990955593639</v>
      </c>
      <c r="I127" s="2">
        <f>(C127+$K$65+F127)*6%</f>
        <v>1460.7168604047984</v>
      </c>
      <c r="L127" s="31">
        <f>(C127+$K$65+F127+I127)*14.25%</f>
        <v>3677.3546960690801</v>
      </c>
      <c r="M127" s="9"/>
      <c r="N127" s="9"/>
    </row>
    <row r="128" spans="2:21" x14ac:dyDescent="0.25">
      <c r="B128" s="5">
        <v>50</v>
      </c>
      <c r="C128" s="2">
        <f t="shared" ref="C128:C139" si="0">$K$42*(B128*21)</f>
        <v>5061.296166230768</v>
      </c>
      <c r="F128" s="2">
        <f t="shared" ref="F128:F139" si="1">(C128+$K$65)*0.05</f>
        <v>1209.9120572216716</v>
      </c>
      <c r="I128" s="2">
        <f t="shared" ref="I128:I139" si="2">(C128+$K$65+F128)*6%</f>
        <v>1524.4891920993061</v>
      </c>
      <c r="L128" s="31">
        <f t="shared" ref="L128:L139" si="3">(C128+$K$65+F128+I128)*14.25%</f>
        <v>3837.9015411100031</v>
      </c>
      <c r="M128" s="9"/>
      <c r="N128" s="9"/>
    </row>
    <row r="129" spans="2:14" x14ac:dyDescent="0.25">
      <c r="B129" s="5">
        <v>60</v>
      </c>
      <c r="C129" s="2">
        <f t="shared" si="0"/>
        <v>6073.5553994769216</v>
      </c>
      <c r="F129" s="2">
        <f t="shared" si="1"/>
        <v>1260.5250188839793</v>
      </c>
      <c r="I129" s="2">
        <f t="shared" si="2"/>
        <v>1588.2615237938137</v>
      </c>
      <c r="L129" s="31">
        <f t="shared" si="3"/>
        <v>3998.4483861509261</v>
      </c>
      <c r="M129" s="9"/>
      <c r="N129" s="9"/>
    </row>
    <row r="130" spans="2:14" x14ac:dyDescent="0.25">
      <c r="B130" s="5">
        <v>70</v>
      </c>
      <c r="C130" s="2">
        <f t="shared" si="0"/>
        <v>7085.8146327230752</v>
      </c>
      <c r="F130" s="2">
        <f t="shared" si="1"/>
        <v>1311.1379805462871</v>
      </c>
      <c r="I130" s="2">
        <f t="shared" si="2"/>
        <v>1652.0338554883215</v>
      </c>
      <c r="L130" s="31">
        <f t="shared" si="3"/>
        <v>4158.9952311918487</v>
      </c>
      <c r="M130" s="9"/>
      <c r="N130" s="9"/>
    </row>
    <row r="131" spans="2:14" x14ac:dyDescent="0.25">
      <c r="B131" s="5">
        <v>80</v>
      </c>
      <c r="C131" s="2">
        <f t="shared" si="0"/>
        <v>8098.0738659692288</v>
      </c>
      <c r="F131" s="2">
        <f t="shared" si="1"/>
        <v>1361.7509422085948</v>
      </c>
      <c r="I131" s="2">
        <f t="shared" si="2"/>
        <v>1715.806187182829</v>
      </c>
      <c r="L131" s="31">
        <f t="shared" si="3"/>
        <v>4319.5420762327722</v>
      </c>
      <c r="M131" s="9"/>
      <c r="N131" s="9"/>
    </row>
    <row r="132" spans="2:14" x14ac:dyDescent="0.25">
      <c r="B132" s="5">
        <v>90</v>
      </c>
      <c r="C132" s="2">
        <f t="shared" si="0"/>
        <v>9110.3330992153824</v>
      </c>
      <c r="F132" s="2">
        <f t="shared" si="1"/>
        <v>1412.3639038709025</v>
      </c>
      <c r="I132" s="2">
        <f t="shared" si="2"/>
        <v>1779.578518877337</v>
      </c>
      <c r="L132" s="31">
        <f t="shared" si="3"/>
        <v>4480.0889212736956</v>
      </c>
      <c r="M132" s="9"/>
      <c r="N132" s="9"/>
    </row>
    <row r="133" spans="2:14" x14ac:dyDescent="0.25">
      <c r="B133" s="5">
        <v>100</v>
      </c>
      <c r="C133" s="2">
        <f t="shared" si="0"/>
        <v>10122.592332461536</v>
      </c>
      <c r="F133" s="2">
        <f t="shared" si="1"/>
        <v>1462.97686553321</v>
      </c>
      <c r="I133" s="2">
        <f t="shared" si="2"/>
        <v>1843.3508505718444</v>
      </c>
      <c r="L133" s="31">
        <f t="shared" si="3"/>
        <v>4640.6357663146182</v>
      </c>
      <c r="M133" s="9"/>
      <c r="N133" s="9"/>
    </row>
    <row r="134" spans="2:14" x14ac:dyDescent="0.25">
      <c r="B134" s="5">
        <v>110</v>
      </c>
      <c r="C134" s="2">
        <f t="shared" si="0"/>
        <v>11134.85156570769</v>
      </c>
      <c r="F134" s="2">
        <f t="shared" si="1"/>
        <v>1513.5898271955177</v>
      </c>
      <c r="I134" s="2">
        <f t="shared" si="2"/>
        <v>1907.1231822663524</v>
      </c>
      <c r="L134" s="31">
        <f t="shared" si="3"/>
        <v>4801.1826113555417</v>
      </c>
      <c r="M134" s="9"/>
      <c r="N134" s="9"/>
    </row>
    <row r="135" spans="2:14" x14ac:dyDescent="0.25">
      <c r="B135" s="5">
        <v>120</v>
      </c>
      <c r="C135" s="2">
        <f t="shared" si="0"/>
        <v>12147.110798953843</v>
      </c>
      <c r="F135" s="2">
        <f t="shared" si="1"/>
        <v>1564.2027888578255</v>
      </c>
      <c r="I135" s="2">
        <f t="shared" si="2"/>
        <v>1970.8955139608597</v>
      </c>
      <c r="L135" s="31">
        <f t="shared" si="3"/>
        <v>4961.7294563964642</v>
      </c>
      <c r="M135" s="9"/>
      <c r="N135" s="9"/>
    </row>
    <row r="136" spans="2:14" x14ac:dyDescent="0.25">
      <c r="B136" s="5">
        <v>130</v>
      </c>
      <c r="C136" s="2">
        <f t="shared" si="0"/>
        <v>13159.370032199997</v>
      </c>
      <c r="F136" s="2">
        <f t="shared" si="1"/>
        <v>1614.8157505201332</v>
      </c>
      <c r="I136" s="2">
        <f t="shared" si="2"/>
        <v>2034.6678456553677</v>
      </c>
      <c r="L136" s="31">
        <f t="shared" si="3"/>
        <v>5122.2763014373886</v>
      </c>
      <c r="M136" s="9"/>
      <c r="N136" s="9"/>
    </row>
    <row r="137" spans="2:14" x14ac:dyDescent="0.25">
      <c r="B137" s="5">
        <v>140</v>
      </c>
      <c r="C137" s="2">
        <f t="shared" si="0"/>
        <v>14171.62926544615</v>
      </c>
      <c r="F137" s="2">
        <f t="shared" si="1"/>
        <v>1665.4287121824409</v>
      </c>
      <c r="I137" s="2">
        <f t="shared" si="2"/>
        <v>2098.4401773498753</v>
      </c>
      <c r="L137" s="31">
        <f t="shared" si="3"/>
        <v>5282.8231464783103</v>
      </c>
      <c r="M137" s="9"/>
      <c r="N137" s="9"/>
    </row>
    <row r="138" spans="2:14" x14ac:dyDescent="0.25">
      <c r="B138" s="5">
        <v>150</v>
      </c>
      <c r="C138" s="2">
        <f t="shared" si="0"/>
        <v>15183.888498692304</v>
      </c>
      <c r="F138" s="2">
        <f t="shared" si="1"/>
        <v>1716.0416738447486</v>
      </c>
      <c r="I138" s="2">
        <f t="shared" si="2"/>
        <v>2162.2125090443828</v>
      </c>
      <c r="L138" s="31">
        <f t="shared" si="3"/>
        <v>5443.3699915192337</v>
      </c>
      <c r="M138" s="9"/>
      <c r="N138" s="9"/>
    </row>
    <row r="139" spans="2:14" x14ac:dyDescent="0.25">
      <c r="B139" s="5">
        <v>160</v>
      </c>
      <c r="C139" s="2">
        <f t="shared" si="0"/>
        <v>16196.147731938458</v>
      </c>
      <c r="F139" s="2">
        <f t="shared" si="1"/>
        <v>1766.6546355070561</v>
      </c>
      <c r="I139" s="2">
        <f t="shared" si="2"/>
        <v>2225.9848407388904</v>
      </c>
      <c r="L139" s="31">
        <f t="shared" si="3"/>
        <v>5603.9168365601563</v>
      </c>
      <c r="M139" s="9"/>
      <c r="N139" s="9"/>
    </row>
    <row r="140" spans="2:14" x14ac:dyDescent="0.25">
      <c r="B140" s="5"/>
    </row>
    <row r="143" spans="2:14" x14ac:dyDescent="0.25">
      <c r="B143" s="187" t="s">
        <v>178</v>
      </c>
      <c r="C143" s="187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</row>
    <row r="144" spans="2:14" x14ac:dyDescent="0.25">
      <c r="B144" s="187"/>
      <c r="C144" s="187"/>
    </row>
    <row r="145" spans="2:14" x14ac:dyDescent="0.25">
      <c r="B145" s="187"/>
      <c r="C145" s="187"/>
    </row>
    <row r="146" spans="2:14" x14ac:dyDescent="0.25">
      <c r="B146" s="187"/>
      <c r="C146" s="187"/>
    </row>
    <row r="147" spans="2:14" ht="24.75" x14ac:dyDescent="0.25">
      <c r="B147" s="94" t="s">
        <v>173</v>
      </c>
      <c r="C147" s="9" t="s">
        <v>174</v>
      </c>
      <c r="D147" s="9"/>
      <c r="E147" s="9"/>
      <c r="F147" s="9" t="s">
        <v>175</v>
      </c>
      <c r="G147" s="9"/>
      <c r="H147" s="9"/>
      <c r="I147" s="9" t="s">
        <v>176</v>
      </c>
      <c r="J147" s="9"/>
      <c r="K147" s="9"/>
      <c r="L147" s="9" t="s">
        <v>177</v>
      </c>
      <c r="M147" s="9"/>
      <c r="N147" s="9"/>
    </row>
    <row r="148" spans="2:14" x14ac:dyDescent="0.25">
      <c r="B148" s="5">
        <v>40</v>
      </c>
      <c r="C148" s="2">
        <f>($K$42*(B148*21))*1.154</f>
        <v>4672.5886206642444</v>
      </c>
      <c r="F148" s="2">
        <f>(C148+$K$65)*0.05</f>
        <v>1190.4766799433455</v>
      </c>
      <c r="I148" s="2">
        <f>(C148+$K$65+F148)*6%</f>
        <v>1500.0006167286153</v>
      </c>
      <c r="L148" s="31">
        <f>(C148+$K$65+F148+I148)*14.25%</f>
        <v>3776.2515526142888</v>
      </c>
      <c r="M148" s="9"/>
      <c r="N148" s="9"/>
    </row>
    <row r="149" spans="2:14" x14ac:dyDescent="0.25">
      <c r="B149" s="5">
        <v>50</v>
      </c>
      <c r="C149" s="2">
        <f t="shared" ref="C149:C160" si="4">($K$42*(B149*21))*1.154</f>
        <v>5840.735775830306</v>
      </c>
      <c r="F149" s="2">
        <f t="shared" ref="F149:F160" si="5">(C149+$K$65)*0.05</f>
        <v>1248.8840377016486</v>
      </c>
      <c r="I149" s="2">
        <f t="shared" ref="I149:I160" si="6">(C149+$K$65+F149)*6%</f>
        <v>1573.593887504077</v>
      </c>
      <c r="L149" s="31">
        <f t="shared" ref="L149:L160" si="7">(C149+$K$65+F149+I149)*14.25%</f>
        <v>3961.5226117915136</v>
      </c>
      <c r="M149" s="9"/>
      <c r="N149" s="9"/>
    </row>
    <row r="150" spans="2:14" x14ac:dyDescent="0.25">
      <c r="B150" s="5">
        <v>60</v>
      </c>
      <c r="C150" s="2">
        <f t="shared" si="4"/>
        <v>7008.8829309963667</v>
      </c>
      <c r="F150" s="2">
        <f t="shared" si="5"/>
        <v>1307.2913954599517</v>
      </c>
      <c r="I150" s="2">
        <f t="shared" si="6"/>
        <v>1647.1871582795388</v>
      </c>
      <c r="L150" s="31">
        <f t="shared" si="7"/>
        <v>4146.7936709687392</v>
      </c>
      <c r="M150" s="9"/>
      <c r="N150" s="9"/>
    </row>
    <row r="151" spans="2:14" x14ac:dyDescent="0.25">
      <c r="B151" s="5">
        <v>70</v>
      </c>
      <c r="C151" s="2">
        <f t="shared" si="4"/>
        <v>8177.0300861624282</v>
      </c>
      <c r="F151" s="2">
        <f t="shared" si="5"/>
        <v>1365.6987532182548</v>
      </c>
      <c r="I151" s="2">
        <f t="shared" si="6"/>
        <v>1720.7804290550007</v>
      </c>
      <c r="L151" s="31">
        <f t="shared" si="7"/>
        <v>4332.0647301459639</v>
      </c>
      <c r="M151" s="9"/>
      <c r="N151" s="9"/>
    </row>
    <row r="152" spans="2:14" x14ac:dyDescent="0.25">
      <c r="B152" s="5">
        <v>80</v>
      </c>
      <c r="C152" s="2">
        <f t="shared" si="4"/>
        <v>9345.1772413284889</v>
      </c>
      <c r="F152" s="2">
        <f t="shared" si="5"/>
        <v>1424.1061109765578</v>
      </c>
      <c r="I152" s="2">
        <f t="shared" si="6"/>
        <v>1794.3736998304626</v>
      </c>
      <c r="L152" s="31">
        <f t="shared" si="7"/>
        <v>4517.3357893231896</v>
      </c>
      <c r="M152" s="9"/>
      <c r="N152" s="9"/>
    </row>
    <row r="153" spans="2:14" x14ac:dyDescent="0.25">
      <c r="B153" s="5">
        <v>90</v>
      </c>
      <c r="C153" s="2">
        <f t="shared" si="4"/>
        <v>10513.32439649455</v>
      </c>
      <c r="F153" s="2">
        <f t="shared" si="5"/>
        <v>1482.5134687348609</v>
      </c>
      <c r="I153" s="2">
        <f t="shared" si="6"/>
        <v>1867.9669706059244</v>
      </c>
      <c r="L153" s="31">
        <f t="shared" si="7"/>
        <v>4702.6068485004143</v>
      </c>
      <c r="M153" s="9"/>
      <c r="N153" s="9"/>
    </row>
    <row r="154" spans="2:14" x14ac:dyDescent="0.25">
      <c r="B154" s="5">
        <v>100</v>
      </c>
      <c r="C154" s="2">
        <f t="shared" si="4"/>
        <v>11681.471551660612</v>
      </c>
      <c r="F154" s="2">
        <f t="shared" si="5"/>
        <v>1540.920826493164</v>
      </c>
      <c r="I154" s="2">
        <f t="shared" si="6"/>
        <v>1941.5602413813863</v>
      </c>
      <c r="L154" s="31">
        <f t="shared" si="7"/>
        <v>4887.8779076776391</v>
      </c>
      <c r="M154" s="9"/>
      <c r="N154" s="9"/>
    </row>
    <row r="155" spans="2:14" x14ac:dyDescent="0.25">
      <c r="B155" s="5">
        <v>110</v>
      </c>
      <c r="C155" s="2">
        <f t="shared" si="4"/>
        <v>12849.618706826674</v>
      </c>
      <c r="F155" s="2">
        <f t="shared" si="5"/>
        <v>1599.3281842514671</v>
      </c>
      <c r="I155" s="2">
        <f t="shared" si="6"/>
        <v>2015.1535121568484</v>
      </c>
      <c r="L155" s="31">
        <f t="shared" si="7"/>
        <v>5073.1489668548647</v>
      </c>
      <c r="M155" s="9"/>
      <c r="N155" s="9"/>
    </row>
    <row r="156" spans="2:14" x14ac:dyDescent="0.25">
      <c r="B156" s="5">
        <v>120</v>
      </c>
      <c r="C156" s="2">
        <f t="shared" si="4"/>
        <v>14017.765861992733</v>
      </c>
      <c r="F156" s="2">
        <f t="shared" si="5"/>
        <v>1657.7355420097699</v>
      </c>
      <c r="I156" s="2">
        <f t="shared" si="6"/>
        <v>2088.7467829323095</v>
      </c>
      <c r="L156" s="31">
        <f t="shared" si="7"/>
        <v>5258.4200260320886</v>
      </c>
      <c r="M156" s="9"/>
      <c r="N156" s="9"/>
    </row>
    <row r="157" spans="2:14" x14ac:dyDescent="0.25">
      <c r="B157" s="5">
        <v>130</v>
      </c>
      <c r="C157" s="2">
        <f t="shared" si="4"/>
        <v>15185.913017158795</v>
      </c>
      <c r="F157" s="2">
        <f t="shared" si="5"/>
        <v>1716.1428997680732</v>
      </c>
      <c r="I157" s="2">
        <f t="shared" si="6"/>
        <v>2162.3400537077719</v>
      </c>
      <c r="L157" s="31">
        <f t="shared" si="7"/>
        <v>5443.6910852093151</v>
      </c>
      <c r="M157" s="9"/>
      <c r="N157" s="9"/>
    </row>
    <row r="158" spans="2:14" x14ac:dyDescent="0.25">
      <c r="B158" s="5">
        <v>140</v>
      </c>
      <c r="C158" s="2">
        <f t="shared" si="4"/>
        <v>16354.060172324856</v>
      </c>
      <c r="F158" s="2">
        <f t="shared" si="5"/>
        <v>1774.5502575263761</v>
      </c>
      <c r="I158" s="2">
        <f t="shared" si="6"/>
        <v>2235.9333244832337</v>
      </c>
      <c r="L158" s="31">
        <f t="shared" si="7"/>
        <v>5628.9621443865399</v>
      </c>
      <c r="M158" s="9"/>
      <c r="N158" s="9"/>
    </row>
    <row r="159" spans="2:14" x14ac:dyDescent="0.25">
      <c r="B159" s="5">
        <v>150</v>
      </c>
      <c r="C159" s="2">
        <f t="shared" si="4"/>
        <v>17522.207327490916</v>
      </c>
      <c r="F159" s="2">
        <f t="shared" si="5"/>
        <v>1832.9576152846794</v>
      </c>
      <c r="I159" s="2">
        <f t="shared" si="6"/>
        <v>2309.5265952586956</v>
      </c>
      <c r="L159" s="31">
        <f t="shared" si="7"/>
        <v>5814.2332035637655</v>
      </c>
      <c r="M159" s="9"/>
      <c r="N159" s="9"/>
    </row>
    <row r="160" spans="2:14" x14ac:dyDescent="0.25">
      <c r="B160" s="5">
        <v>160</v>
      </c>
      <c r="C160" s="2">
        <f t="shared" si="4"/>
        <v>18690.354482656978</v>
      </c>
      <c r="F160" s="2">
        <f t="shared" si="5"/>
        <v>1891.3649730429822</v>
      </c>
      <c r="I160" s="2">
        <f t="shared" si="6"/>
        <v>2383.1198660341574</v>
      </c>
      <c r="L160" s="31">
        <f t="shared" si="7"/>
        <v>5999.5042627409903</v>
      </c>
      <c r="M160" s="9"/>
      <c r="N160" s="9"/>
    </row>
  </sheetData>
  <mergeCells count="121">
    <mergeCell ref="A11:F11"/>
    <mergeCell ref="K11:N11"/>
    <mergeCell ref="A12:C12"/>
    <mergeCell ref="E12:F12"/>
    <mergeCell ref="K12:N12"/>
    <mergeCell ref="A13:D13"/>
    <mergeCell ref="E13:F13"/>
    <mergeCell ref="K13:N13"/>
    <mergeCell ref="C2:F6"/>
    <mergeCell ref="H3:P5"/>
    <mergeCell ref="F7:H7"/>
    <mergeCell ref="K7:N7"/>
    <mergeCell ref="B8:C8"/>
    <mergeCell ref="I9:P9"/>
    <mergeCell ref="A9:F9"/>
    <mergeCell ref="O16:O17"/>
    <mergeCell ref="P16:P17"/>
    <mergeCell ref="T17:V17"/>
    <mergeCell ref="A14:D14"/>
    <mergeCell ref="E14:F14"/>
    <mergeCell ref="K14:N15"/>
    <mergeCell ref="O14:O15"/>
    <mergeCell ref="P14:P15"/>
    <mergeCell ref="E15:F15"/>
    <mergeCell ref="K18:N18"/>
    <mergeCell ref="A19:F19"/>
    <mergeCell ref="A20:F20"/>
    <mergeCell ref="A23:F23"/>
    <mergeCell ref="A24:D24"/>
    <mergeCell ref="E24:F24"/>
    <mergeCell ref="A16:D16"/>
    <mergeCell ref="E16:F16"/>
    <mergeCell ref="K16:N17"/>
    <mergeCell ref="H21:N22"/>
    <mergeCell ref="A28:D28"/>
    <mergeCell ref="E28:F28"/>
    <mergeCell ref="A31:F31"/>
    <mergeCell ref="A32:D32"/>
    <mergeCell ref="E32:F32"/>
    <mergeCell ref="A33:D33"/>
    <mergeCell ref="A25:D25"/>
    <mergeCell ref="E25:F25"/>
    <mergeCell ref="A26:D26"/>
    <mergeCell ref="E26:F26"/>
    <mergeCell ref="A27:D27"/>
    <mergeCell ref="E27:F27"/>
    <mergeCell ref="B41:D41"/>
    <mergeCell ref="F41:H41"/>
    <mergeCell ref="A42:E42"/>
    <mergeCell ref="A43:J43"/>
    <mergeCell ref="A45:J45"/>
    <mergeCell ref="A47:J47"/>
    <mergeCell ref="A36:E36"/>
    <mergeCell ref="B37:D37"/>
    <mergeCell ref="E37:F37"/>
    <mergeCell ref="B38:D38"/>
    <mergeCell ref="B39:D39"/>
    <mergeCell ref="B40:D40"/>
    <mergeCell ref="C54:F54"/>
    <mergeCell ref="C55:F55"/>
    <mergeCell ref="C58:F58"/>
    <mergeCell ref="C60:G60"/>
    <mergeCell ref="C62:E62"/>
    <mergeCell ref="C63:F63"/>
    <mergeCell ref="A49:E49"/>
    <mergeCell ref="H50:I50"/>
    <mergeCell ref="C51:F51"/>
    <mergeCell ref="H51:I51"/>
    <mergeCell ref="C52:F52"/>
    <mergeCell ref="C53:F53"/>
    <mergeCell ref="A74:E74"/>
    <mergeCell ref="A75:F75"/>
    <mergeCell ref="I75:J75"/>
    <mergeCell ref="I76:J76"/>
    <mergeCell ref="I77:J77"/>
    <mergeCell ref="I78:J78"/>
    <mergeCell ref="A65:J65"/>
    <mergeCell ref="A67:I67"/>
    <mergeCell ref="A69:E69"/>
    <mergeCell ref="I69:J69"/>
    <mergeCell ref="C70:F70"/>
    <mergeCell ref="C71:F71"/>
    <mergeCell ref="D95:E95"/>
    <mergeCell ref="B97:C97"/>
    <mergeCell ref="F97:G97"/>
    <mergeCell ref="F98:G98"/>
    <mergeCell ref="B100:D100"/>
    <mergeCell ref="F100:G100"/>
    <mergeCell ref="A79:J79"/>
    <mergeCell ref="A82:I82"/>
    <mergeCell ref="A84:H84"/>
    <mergeCell ref="A85:J85"/>
    <mergeCell ref="A89:J89"/>
    <mergeCell ref="A90:J90"/>
    <mergeCell ref="L109:M109"/>
    <mergeCell ref="P109:Q109"/>
    <mergeCell ref="F110:G110"/>
    <mergeCell ref="P110:Q110"/>
    <mergeCell ref="B112:D112"/>
    <mergeCell ref="F112:G112"/>
    <mergeCell ref="L112:N112"/>
    <mergeCell ref="P112:Q112"/>
    <mergeCell ref="B101:D101"/>
    <mergeCell ref="B102:D102"/>
    <mergeCell ref="B103:C103"/>
    <mergeCell ref="B104:D104"/>
    <mergeCell ref="F104:G104"/>
    <mergeCell ref="B109:C109"/>
    <mergeCell ref="F109:G109"/>
    <mergeCell ref="B116:D116"/>
    <mergeCell ref="F116:G116"/>
    <mergeCell ref="L116:N116"/>
    <mergeCell ref="P116:Q116"/>
    <mergeCell ref="B122:C125"/>
    <mergeCell ref="B143:C146"/>
    <mergeCell ref="B113:D113"/>
    <mergeCell ref="L113:N113"/>
    <mergeCell ref="B114:D114"/>
    <mergeCell ref="L114:N114"/>
    <mergeCell ref="B115:C115"/>
    <mergeCell ref="L115:M115"/>
  </mergeCells>
  <conditionalFormatting sqref="P19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{5937241A-24CE-4F2A-8057-4BDDE0E94AED}</x14:id>
        </ext>
      </extLst>
    </cfRule>
  </conditionalFormatting>
  <dataValidations count="3">
    <dataValidation type="list" allowBlank="1" showInputMessage="1" showErrorMessage="1" sqref="F7:H7 T17:V17">
      <formula1>$Q$119:$Q$122</formula1>
    </dataValidation>
    <dataValidation type="list" allowBlank="1" showInputMessage="1" showErrorMessage="1" sqref="L51">
      <formula1>"LINEAR, MÉTODO COLE"</formula1>
    </dataValidation>
    <dataValidation type="list" allowBlank="1" showInputMessage="1" showErrorMessage="1" sqref="E15:F15">
      <formula1>"0,1,2,3,4,5,6,7,8,9,10,11,12,13,14,15"</formula1>
    </dataValidation>
  </dataValidations>
  <pageMargins left="0.51181102362204722" right="0.51181102362204722" top="0.78740157480314965" bottom="0.78740157480314965" header="0.31496062992125984" footer="0.31496062992125984"/>
  <pageSetup paperSize="9" scale="50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937241A-24CE-4F2A-8057-4BDDE0E94AE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P19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0">
    <tabColor rgb="FF0070C0"/>
  </sheetPr>
  <dimension ref="A2:V160"/>
  <sheetViews>
    <sheetView tabSelected="1" view="pageBreakPreview" topLeftCell="A59" zoomScale="85" zoomScaleNormal="100" zoomScaleSheetLayoutView="85" workbookViewId="0">
      <selection activeCell="A57" sqref="A57"/>
    </sheetView>
  </sheetViews>
  <sheetFormatPr defaultColWidth="8.85546875" defaultRowHeight="15" x14ac:dyDescent="0.25"/>
  <cols>
    <col min="2" max="2" width="14.140625" customWidth="1"/>
    <col min="3" max="3" width="15.28515625" customWidth="1"/>
    <col min="5" max="5" width="12.42578125" customWidth="1"/>
    <col min="6" max="6" width="13.5703125" customWidth="1"/>
    <col min="7" max="7" width="12.140625" customWidth="1"/>
    <col min="9" max="9" width="10.7109375" customWidth="1"/>
    <col min="10" max="10" width="12.140625" bestFit="1" customWidth="1"/>
    <col min="11" max="11" width="16.42578125" bestFit="1" customWidth="1"/>
    <col min="12" max="12" width="14.42578125" customWidth="1"/>
    <col min="14" max="14" width="6.42578125" customWidth="1"/>
    <col min="15" max="15" width="9" customWidth="1"/>
    <col min="16" max="16" width="10.42578125" customWidth="1"/>
    <col min="17" max="17" width="15.140625" customWidth="1"/>
    <col min="18" max="18" width="14.7109375" bestFit="1" customWidth="1"/>
    <col min="19" max="19" width="19.42578125" bestFit="1" customWidth="1"/>
  </cols>
  <sheetData>
    <row r="2" spans="1:19" x14ac:dyDescent="0.25">
      <c r="C2" s="239" t="s">
        <v>151</v>
      </c>
      <c r="D2" s="240"/>
      <c r="E2" s="240"/>
      <c r="F2" s="240"/>
    </row>
    <row r="3" spans="1:19" x14ac:dyDescent="0.25">
      <c r="C3" s="240"/>
      <c r="D3" s="240"/>
      <c r="E3" s="240"/>
      <c r="F3" s="240"/>
      <c r="H3" s="241" t="s">
        <v>64</v>
      </c>
      <c r="I3" s="239"/>
      <c r="J3" s="239"/>
      <c r="K3" s="239"/>
      <c r="L3" s="239"/>
      <c r="M3" s="239"/>
      <c r="N3" s="239"/>
      <c r="O3" s="239"/>
      <c r="P3" s="239"/>
    </row>
    <row r="4" spans="1:19" x14ac:dyDescent="0.25">
      <c r="C4" s="240"/>
      <c r="D4" s="240"/>
      <c r="E4" s="240"/>
      <c r="F4" s="240"/>
      <c r="H4" s="239"/>
      <c r="I4" s="239"/>
      <c r="J4" s="239"/>
      <c r="K4" s="239"/>
      <c r="L4" s="239"/>
      <c r="M4" s="239"/>
      <c r="N4" s="239"/>
      <c r="O4" s="239"/>
      <c r="P4" s="239"/>
    </row>
    <row r="5" spans="1:19" x14ac:dyDescent="0.25">
      <c r="C5" s="240"/>
      <c r="D5" s="240"/>
      <c r="E5" s="240"/>
      <c r="F5" s="240"/>
      <c r="H5" s="239"/>
      <c r="I5" s="239"/>
      <c r="J5" s="239"/>
      <c r="K5" s="239"/>
      <c r="L5" s="239"/>
      <c r="M5" s="239"/>
      <c r="N5" s="239"/>
      <c r="O5" s="239"/>
      <c r="P5" s="239"/>
    </row>
    <row r="6" spans="1:19" x14ac:dyDescent="0.25">
      <c r="C6" s="240"/>
      <c r="D6" s="240"/>
      <c r="E6" s="240"/>
      <c r="F6" s="240"/>
    </row>
    <row r="7" spans="1:19" ht="21" x14ac:dyDescent="0.35">
      <c r="E7" s="18" t="s">
        <v>80</v>
      </c>
      <c r="F7" s="235" t="s">
        <v>65</v>
      </c>
      <c r="G7" s="235"/>
      <c r="H7" s="235"/>
      <c r="K7" s="242" t="s">
        <v>286</v>
      </c>
      <c r="L7" s="243"/>
      <c r="M7" s="243"/>
      <c r="N7" s="243"/>
    </row>
    <row r="8" spans="1:19" ht="15.75" x14ac:dyDescent="0.25">
      <c r="B8" s="194"/>
      <c r="C8" s="194"/>
      <c r="D8" s="8"/>
      <c r="E8" s="8"/>
      <c r="F8" s="8"/>
      <c r="J8" s="9"/>
    </row>
    <row r="9" spans="1:19" ht="21" x14ac:dyDescent="0.35">
      <c r="A9" s="235" t="s">
        <v>352</v>
      </c>
      <c r="B9" s="235"/>
      <c r="C9" s="235"/>
      <c r="D9" s="235"/>
      <c r="E9" s="235"/>
      <c r="F9" s="235"/>
      <c r="I9" s="244" t="s">
        <v>157</v>
      </c>
      <c r="J9" s="244"/>
      <c r="K9" s="244"/>
      <c r="L9" s="244"/>
      <c r="M9" s="244"/>
      <c r="N9" s="244"/>
      <c r="O9" s="244"/>
      <c r="P9" s="244"/>
      <c r="R9" s="9" t="s">
        <v>155</v>
      </c>
      <c r="S9" s="9" t="s">
        <v>156</v>
      </c>
    </row>
    <row r="10" spans="1:19" x14ac:dyDescent="0.25">
      <c r="R10" s="2">
        <f>K43</f>
        <v>1712.7426226524922</v>
      </c>
      <c r="S10" s="43">
        <f>K45</f>
        <v>7925.5039118854238</v>
      </c>
    </row>
    <row r="11" spans="1:19" ht="17.25" x14ac:dyDescent="0.3">
      <c r="A11" s="236" t="s">
        <v>150</v>
      </c>
      <c r="B11" s="237"/>
      <c r="C11" s="237"/>
      <c r="D11" s="237"/>
      <c r="E11" s="237"/>
      <c r="F11" s="238"/>
      <c r="G11" s="40" t="s">
        <v>0</v>
      </c>
      <c r="K11" s="206" t="s">
        <v>15</v>
      </c>
      <c r="L11" s="206"/>
      <c r="M11" s="206"/>
      <c r="N11" s="206"/>
      <c r="O11" s="161">
        <f>O12+O13</f>
        <v>84.92</v>
      </c>
      <c r="P11" s="47" t="s">
        <v>14</v>
      </c>
      <c r="R11" s="130">
        <f>K65/O18*O14</f>
        <v>3812.9664275929003</v>
      </c>
      <c r="S11" s="130">
        <f>K65/O18*O16</f>
        <v>15323.978550609763</v>
      </c>
    </row>
    <row r="12" spans="1:19" ht="15.75" x14ac:dyDescent="0.25">
      <c r="A12" s="214" t="s">
        <v>107</v>
      </c>
      <c r="B12" s="215"/>
      <c r="C12" s="215"/>
      <c r="D12" s="48"/>
      <c r="E12" s="218">
        <f>Insumos!$B$4</f>
        <v>531068.38</v>
      </c>
      <c r="F12" s="218"/>
      <c r="G12" s="1"/>
      <c r="K12" s="206" t="s">
        <v>136</v>
      </c>
      <c r="L12" s="206"/>
      <c r="M12" s="206"/>
      <c r="N12" s="206"/>
      <c r="O12" s="150">
        <v>16.920000000000002</v>
      </c>
      <c r="P12" s="47" t="s">
        <v>14</v>
      </c>
      <c r="R12" s="2">
        <f>K72/O18*O14</f>
        <v>387.94152060911324</v>
      </c>
      <c r="S12" s="2">
        <f>K72/O18*O16</f>
        <v>1559.1030379089655</v>
      </c>
    </row>
    <row r="13" spans="1:19" ht="15.75" x14ac:dyDescent="0.25">
      <c r="A13" s="214" t="s">
        <v>285</v>
      </c>
      <c r="B13" s="215"/>
      <c r="C13" s="215"/>
      <c r="D13" s="216"/>
      <c r="E13" s="198">
        <f>'DEPRECIAÇÃO LINEAR'!D15</f>
        <v>10</v>
      </c>
      <c r="F13" s="198"/>
      <c r="K13" s="206" t="s">
        <v>137</v>
      </c>
      <c r="L13" s="206"/>
      <c r="M13" s="206"/>
      <c r="N13" s="206"/>
      <c r="O13" s="150">
        <v>68</v>
      </c>
      <c r="P13" s="47" t="s">
        <v>14</v>
      </c>
      <c r="R13" s="2">
        <f>K79/O18*O14</f>
        <v>579.62986083779617</v>
      </c>
      <c r="S13" s="2">
        <f>K79/O18*O16</f>
        <v>2329.4817102228212</v>
      </c>
    </row>
    <row r="14" spans="1:19" ht="15" customHeight="1" x14ac:dyDescent="0.25">
      <c r="A14" s="214" t="s">
        <v>23</v>
      </c>
      <c r="B14" s="215"/>
      <c r="C14" s="215"/>
      <c r="D14" s="216"/>
      <c r="E14" s="219">
        <v>2026</v>
      </c>
      <c r="F14" s="220"/>
      <c r="K14" s="223" t="s">
        <v>138</v>
      </c>
      <c r="L14" s="223"/>
      <c r="M14" s="223"/>
      <c r="N14" s="223"/>
      <c r="O14" s="232">
        <f>O12*21</f>
        <v>355.32000000000005</v>
      </c>
      <c r="P14" s="234" t="s">
        <v>14</v>
      </c>
      <c r="R14" s="2">
        <f>SUM(R10:R13)</f>
        <v>6493.280431692302</v>
      </c>
      <c r="S14" s="2">
        <f>SUM(S10:S13)</f>
        <v>27138.067210626974</v>
      </c>
    </row>
    <row r="15" spans="1:19" ht="15.75" customHeight="1" x14ac:dyDescent="0.25">
      <c r="A15" s="49" t="s">
        <v>79</v>
      </c>
      <c r="B15" s="48"/>
      <c r="C15" s="48"/>
      <c r="D15" s="48"/>
      <c r="E15" s="198">
        <v>0</v>
      </c>
      <c r="F15" s="198"/>
      <c r="G15" s="41" t="s">
        <v>128</v>
      </c>
      <c r="I15" s="28"/>
      <c r="J15" s="28"/>
      <c r="K15" s="223"/>
      <c r="L15" s="223"/>
      <c r="M15" s="223"/>
      <c r="N15" s="223"/>
      <c r="O15" s="233"/>
      <c r="P15" s="234"/>
      <c r="R15" s="31">
        <f>IFERROR(R14/O14,0)</f>
        <v>18.27445804258781</v>
      </c>
      <c r="S15" s="31">
        <f>IFERROR(S14/O16,0)</f>
        <v>19.004248746937655</v>
      </c>
    </row>
    <row r="16" spans="1:19" ht="15" customHeight="1" x14ac:dyDescent="0.25">
      <c r="A16" s="214" t="s">
        <v>84</v>
      </c>
      <c r="B16" s="215"/>
      <c r="C16" s="215"/>
      <c r="D16" s="215"/>
      <c r="E16" s="198" t="str">
        <f>IF($F$7=$D$95,F104,IF($F$7=$D$107,F116,IF($F$7=$N$95,Q104,IF($F$7=$O$107,P116,""))))</f>
        <v>ATÉ 59 ALUNOS</v>
      </c>
      <c r="F16" s="198"/>
      <c r="I16" s="28"/>
      <c r="J16" s="28"/>
      <c r="K16" s="223" t="s">
        <v>139</v>
      </c>
      <c r="L16" s="223"/>
      <c r="M16" s="223"/>
      <c r="N16" s="223"/>
      <c r="O16" s="232">
        <f>O13*21</f>
        <v>1428</v>
      </c>
      <c r="P16" s="234" t="s">
        <v>14</v>
      </c>
    </row>
    <row r="17" spans="1:22" ht="15" customHeight="1" x14ac:dyDescent="0.35">
      <c r="I17" s="28"/>
      <c r="J17" s="28"/>
      <c r="K17" s="223"/>
      <c r="L17" s="223"/>
      <c r="M17" s="223"/>
      <c r="N17" s="223"/>
      <c r="O17" s="233"/>
      <c r="P17" s="234"/>
      <c r="R17" s="2">
        <f>R14+S14</f>
        <v>33631.347642319277</v>
      </c>
      <c r="T17" s="235"/>
      <c r="U17" s="235"/>
      <c r="V17" s="235"/>
    </row>
    <row r="18" spans="1:22" ht="15" customHeight="1" x14ac:dyDescent="0.25">
      <c r="I18" s="28"/>
      <c r="J18" s="28"/>
      <c r="K18" s="223" t="s">
        <v>140</v>
      </c>
      <c r="L18" s="223"/>
      <c r="M18" s="223"/>
      <c r="N18" s="223"/>
      <c r="O18" s="46">
        <f>O16+O14</f>
        <v>1783.3200000000002</v>
      </c>
      <c r="P18" s="47" t="s">
        <v>14</v>
      </c>
      <c r="R18" s="2">
        <f>R17/O18</f>
        <v>18.858840613192964</v>
      </c>
    </row>
    <row r="19" spans="1:22" ht="15.75" customHeight="1" x14ac:dyDescent="0.3">
      <c r="A19" s="224" t="s">
        <v>1</v>
      </c>
      <c r="B19" s="225"/>
      <c r="C19" s="225"/>
      <c r="D19" s="225"/>
      <c r="E19" s="225"/>
      <c r="F19" s="225"/>
      <c r="I19" s="29"/>
      <c r="J19" s="29"/>
      <c r="K19" s="29"/>
      <c r="L19" s="29"/>
      <c r="M19" s="29"/>
    </row>
    <row r="20" spans="1:22" ht="15" customHeight="1" thickBot="1" x14ac:dyDescent="0.3">
      <c r="A20" s="206" t="s">
        <v>106</v>
      </c>
      <c r="B20" s="206"/>
      <c r="C20" s="206"/>
      <c r="D20" s="206"/>
      <c r="E20" s="206"/>
      <c r="F20" s="206"/>
      <c r="I20" s="28"/>
      <c r="J20" s="28"/>
      <c r="K20" s="28"/>
      <c r="L20" s="28"/>
      <c r="M20" s="28"/>
      <c r="O20" s="93">
        <f>K90</f>
        <v>18.858840613192964</v>
      </c>
      <c r="R20" s="93">
        <f>K90</f>
        <v>18.858840613192964</v>
      </c>
    </row>
    <row r="21" spans="1:22" x14ac:dyDescent="0.25">
      <c r="H21" s="245" t="s">
        <v>300</v>
      </c>
      <c r="I21" s="246"/>
      <c r="J21" s="246"/>
      <c r="K21" s="246"/>
      <c r="L21" s="246"/>
      <c r="M21" s="246"/>
      <c r="N21" s="247"/>
      <c r="O21" s="2"/>
    </row>
    <row r="22" spans="1:22" ht="15.75" thickBot="1" x14ac:dyDescent="0.3">
      <c r="H22" s="248"/>
      <c r="I22" s="249"/>
      <c r="J22" s="249"/>
      <c r="K22" s="249"/>
      <c r="L22" s="249"/>
      <c r="M22" s="249"/>
      <c r="N22" s="250"/>
    </row>
    <row r="23" spans="1:22" ht="17.25" x14ac:dyDescent="0.3">
      <c r="A23" s="224" t="s">
        <v>2</v>
      </c>
      <c r="B23" s="225"/>
      <c r="C23" s="225"/>
      <c r="D23" s="225"/>
      <c r="E23" s="225"/>
      <c r="F23" s="225"/>
      <c r="L23" s="2"/>
    </row>
    <row r="24" spans="1:22" ht="15.75" x14ac:dyDescent="0.25">
      <c r="A24" s="214" t="s">
        <v>11</v>
      </c>
      <c r="B24" s="215"/>
      <c r="C24" s="215"/>
      <c r="D24" s="215"/>
      <c r="E24" s="198">
        <f>IF($F$7=$D$95,F100,IF($F$7=$D$107,F112,IF($F$7=$N$95,Q100,IF($F$7=$O$107,P112,""))))</f>
        <v>6</v>
      </c>
      <c r="F24" s="198"/>
    </row>
    <row r="25" spans="1:22" ht="15.75" x14ac:dyDescent="0.25">
      <c r="A25" s="214" t="s">
        <v>9</v>
      </c>
      <c r="B25" s="215"/>
      <c r="C25" s="215"/>
      <c r="D25" s="216"/>
      <c r="E25" s="218">
        <f>Insumos!$B$5</f>
        <v>2453.2399999999998</v>
      </c>
      <c r="F25" s="218"/>
    </row>
    <row r="26" spans="1:22" ht="15.75" x14ac:dyDescent="0.25">
      <c r="A26" s="214" t="s">
        <v>147</v>
      </c>
      <c r="B26" s="215"/>
      <c r="C26" s="215"/>
      <c r="D26" s="216"/>
      <c r="E26" s="219">
        <v>2</v>
      </c>
      <c r="F26" s="220"/>
    </row>
    <row r="27" spans="1:22" ht="15.75" x14ac:dyDescent="0.25">
      <c r="A27" s="214" t="s">
        <v>148</v>
      </c>
      <c r="B27" s="215"/>
      <c r="C27" s="215"/>
      <c r="D27" s="216"/>
      <c r="E27" s="221">
        <f>Insumos!$B$6</f>
        <v>975.83</v>
      </c>
      <c r="F27" s="222"/>
    </row>
    <row r="28" spans="1:22" ht="15.75" x14ac:dyDescent="0.25">
      <c r="A28" s="214" t="s">
        <v>149</v>
      </c>
      <c r="B28" s="215"/>
      <c r="C28" s="215"/>
      <c r="D28" s="216"/>
      <c r="E28" s="217">
        <v>100000</v>
      </c>
      <c r="F28" s="217"/>
    </row>
    <row r="31" spans="1:22" ht="15.75" x14ac:dyDescent="0.25">
      <c r="A31" s="191" t="s">
        <v>3</v>
      </c>
      <c r="B31" s="192"/>
      <c r="C31" s="192"/>
      <c r="D31" s="192"/>
      <c r="E31" s="192"/>
      <c r="F31" s="192"/>
    </row>
    <row r="32" spans="1:22" ht="15.75" x14ac:dyDescent="0.25">
      <c r="A32" s="214" t="s">
        <v>19</v>
      </c>
      <c r="B32" s="215"/>
      <c r="C32" s="215"/>
      <c r="D32" s="216"/>
      <c r="E32" s="218">
        <f>Insumos!$B$7</f>
        <v>7.6</v>
      </c>
      <c r="F32" s="218"/>
    </row>
    <row r="33" spans="1:14" ht="15.75" x14ac:dyDescent="0.25">
      <c r="A33" s="214" t="s">
        <v>17</v>
      </c>
      <c r="B33" s="215"/>
      <c r="C33" s="215"/>
      <c r="D33" s="216"/>
      <c r="E33" s="46">
        <f>IF($F$7=$D$95,G103,IF($F$7=$D$107,G115,IF($F$7=$N$95,Q103,IF($F$7=$O$107,Q115,""))))</f>
        <v>2.6</v>
      </c>
      <c r="F33" s="50" t="s">
        <v>18</v>
      </c>
    </row>
    <row r="36" spans="1:14" ht="17.25" x14ac:dyDescent="0.3">
      <c r="A36" s="208" t="s">
        <v>20</v>
      </c>
      <c r="B36" s="209"/>
      <c r="C36" s="209"/>
      <c r="D36" s="209"/>
      <c r="E36" s="209"/>
    </row>
    <row r="37" spans="1:14" x14ac:dyDescent="0.25">
      <c r="B37" s="210"/>
      <c r="C37" s="210"/>
      <c r="D37" s="211"/>
      <c r="E37" s="212" t="s">
        <v>4</v>
      </c>
      <c r="F37" s="213"/>
    </row>
    <row r="38" spans="1:14" ht="15.75" x14ac:dyDescent="0.25">
      <c r="A38" s="46" t="s">
        <v>346</v>
      </c>
      <c r="B38" s="214" t="s">
        <v>52</v>
      </c>
      <c r="C38" s="215"/>
      <c r="D38" s="216"/>
      <c r="E38" s="46">
        <f>1/E33</f>
        <v>0.38461538461538458</v>
      </c>
      <c r="F38" s="7" t="s">
        <v>5</v>
      </c>
      <c r="G38" s="7"/>
      <c r="H38" s="7"/>
      <c r="I38" s="7"/>
      <c r="J38" s="7"/>
      <c r="K38" s="58">
        <f>E32*E38</f>
        <v>2.9230769230769225</v>
      </c>
      <c r="L38" s="51" t="s">
        <v>13</v>
      </c>
      <c r="N38" s="2"/>
    </row>
    <row r="39" spans="1:14" ht="15.75" x14ac:dyDescent="0.25">
      <c r="A39" s="46" t="s">
        <v>6</v>
      </c>
      <c r="B39" s="206" t="s">
        <v>152</v>
      </c>
      <c r="C39" s="206"/>
      <c r="D39" s="206"/>
      <c r="E39" s="46">
        <v>0.04</v>
      </c>
      <c r="F39" s="7" t="s">
        <v>5</v>
      </c>
      <c r="G39" s="7"/>
      <c r="H39" s="7"/>
      <c r="I39" s="7"/>
      <c r="J39" s="7"/>
      <c r="K39" s="58">
        <f>E39*E32</f>
        <v>0.30399999999999999</v>
      </c>
      <c r="L39" s="51" t="s">
        <v>13</v>
      </c>
    </row>
    <row r="40" spans="1:14" ht="15.75" x14ac:dyDescent="0.25">
      <c r="A40" s="46" t="s">
        <v>7</v>
      </c>
      <c r="B40" s="206" t="s">
        <v>8</v>
      </c>
      <c r="C40" s="206"/>
      <c r="D40" s="206"/>
      <c r="E40" s="46"/>
      <c r="F40" s="7"/>
      <c r="G40" s="7"/>
      <c r="H40" s="7"/>
      <c r="I40" s="7"/>
      <c r="J40" s="7"/>
      <c r="K40" s="58">
        <f>((E25*E24)+(E26*E24*E27))/E28</f>
        <v>0.26429400000000003</v>
      </c>
      <c r="L40" s="51" t="s">
        <v>13</v>
      </c>
    </row>
    <row r="41" spans="1:14" ht="15.75" x14ac:dyDescent="0.25">
      <c r="A41" s="46" t="s">
        <v>12</v>
      </c>
      <c r="B41" s="206" t="s">
        <v>153</v>
      </c>
      <c r="C41" s="206"/>
      <c r="D41" s="206"/>
      <c r="E41" s="70">
        <v>3.0000000000000001E-6</v>
      </c>
      <c r="F41" s="193" t="s">
        <v>10</v>
      </c>
      <c r="G41" s="193"/>
      <c r="H41" s="193"/>
      <c r="I41" s="7"/>
      <c r="J41" s="7"/>
      <c r="K41" s="58">
        <f>(E41*E12)-(K40)</f>
        <v>1.32891114</v>
      </c>
      <c r="L41" s="51" t="s">
        <v>13</v>
      </c>
    </row>
    <row r="42" spans="1:14" ht="15.75" x14ac:dyDescent="0.25">
      <c r="A42" s="207"/>
      <c r="B42" s="207"/>
      <c r="C42" s="207"/>
      <c r="D42" s="207"/>
      <c r="E42" s="207"/>
      <c r="F42" s="7"/>
      <c r="G42" s="7"/>
      <c r="H42" s="7"/>
      <c r="I42" s="7"/>
      <c r="J42" s="7"/>
      <c r="K42" s="58">
        <f>SUM(K38:K41)</f>
        <v>4.8202820630769221</v>
      </c>
      <c r="L42" s="51" t="s">
        <v>13</v>
      </c>
    </row>
    <row r="43" spans="1:14" ht="21" customHeight="1" x14ac:dyDescent="0.25">
      <c r="A43" s="200" t="s">
        <v>144</v>
      </c>
      <c r="B43" s="200"/>
      <c r="C43" s="200"/>
      <c r="D43" s="200"/>
      <c r="E43" s="200"/>
      <c r="F43" s="200"/>
      <c r="G43" s="200"/>
      <c r="H43" s="200"/>
      <c r="I43" s="200"/>
      <c r="J43" s="200"/>
      <c r="K43" s="68">
        <f>K42*O14</f>
        <v>1712.7426226524922</v>
      </c>
      <c r="L43" s="52" t="s">
        <v>16</v>
      </c>
    </row>
    <row r="45" spans="1:14" ht="18.75" x14ac:dyDescent="0.3">
      <c r="A45" s="190" t="s">
        <v>145</v>
      </c>
      <c r="B45" s="190"/>
      <c r="C45" s="190"/>
      <c r="D45" s="190"/>
      <c r="E45" s="190"/>
      <c r="F45" s="190"/>
      <c r="G45" s="190"/>
      <c r="H45" s="190"/>
      <c r="I45" s="190"/>
      <c r="J45" s="190"/>
      <c r="K45" s="65">
        <f>K42*O16*1.1514</f>
        <v>7925.5039118854238</v>
      </c>
      <c r="L45" s="53" t="s">
        <v>16</v>
      </c>
    </row>
    <row r="46" spans="1:14" ht="15.75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</row>
    <row r="47" spans="1:14" ht="18.75" x14ac:dyDescent="0.3">
      <c r="A47" s="190" t="s">
        <v>146</v>
      </c>
      <c r="B47" s="190"/>
      <c r="C47" s="190"/>
      <c r="D47" s="190"/>
      <c r="E47" s="190"/>
      <c r="F47" s="190"/>
      <c r="G47" s="190"/>
      <c r="H47" s="190"/>
      <c r="I47" s="190"/>
      <c r="J47" s="190"/>
      <c r="K47" s="65">
        <f>K43+K45</f>
        <v>9638.2465345379169</v>
      </c>
      <c r="L47" s="54" t="s">
        <v>16</v>
      </c>
    </row>
    <row r="49" spans="1:12" ht="15.75" x14ac:dyDescent="0.25">
      <c r="A49" s="197" t="s">
        <v>21</v>
      </c>
      <c r="B49" s="204"/>
      <c r="C49" s="204"/>
      <c r="D49" s="204"/>
      <c r="E49" s="204"/>
      <c r="F49" s="7"/>
      <c r="G49" s="7"/>
      <c r="H49" s="7"/>
      <c r="I49" s="7"/>
      <c r="J49" s="7"/>
      <c r="K49" s="7"/>
      <c r="L49" s="7"/>
    </row>
    <row r="50" spans="1:12" ht="15.75" x14ac:dyDescent="0.25">
      <c r="A50" s="3"/>
      <c r="B50" s="45"/>
      <c r="C50" s="45"/>
      <c r="D50" s="45"/>
      <c r="E50" s="45"/>
      <c r="F50" s="7"/>
      <c r="G50" s="7"/>
      <c r="H50" s="205" t="s">
        <v>25</v>
      </c>
      <c r="I50" s="205"/>
      <c r="J50" s="7"/>
      <c r="K50" s="7"/>
      <c r="L50" s="7"/>
    </row>
    <row r="51" spans="1:12" ht="15.75" x14ac:dyDescent="0.25">
      <c r="A51" s="7" t="s">
        <v>22</v>
      </c>
      <c r="B51" s="7"/>
      <c r="C51" s="193" t="s">
        <v>24</v>
      </c>
      <c r="D51" s="193"/>
      <c r="E51" s="193"/>
      <c r="F51" s="193"/>
      <c r="G51" s="7"/>
      <c r="H51" s="195"/>
      <c r="I51" s="195"/>
      <c r="J51" s="58"/>
      <c r="K51" s="129">
        <f>IF(L51="LINEAR",'DEPRECIAÇÃO LINEAR'!H23,(VLOOKUP(E15,'DEPRECIAÇÃO LINEAR'!W12:AM25,17,0)))</f>
        <v>3983.0128500000005</v>
      </c>
      <c r="L51" s="55" t="s">
        <v>130</v>
      </c>
    </row>
    <row r="52" spans="1:12" ht="15.75" x14ac:dyDescent="0.25">
      <c r="A52" s="7" t="s">
        <v>26</v>
      </c>
      <c r="B52" s="7"/>
      <c r="C52" s="193" t="s">
        <v>27</v>
      </c>
      <c r="D52" s="193"/>
      <c r="E52" s="193"/>
      <c r="F52" s="193"/>
      <c r="G52" s="7"/>
      <c r="H52" s="7"/>
      <c r="I52" s="7"/>
      <c r="J52" s="58"/>
      <c r="K52" s="58"/>
      <c r="L52" s="7"/>
    </row>
    <row r="53" spans="1:12" ht="15.75" x14ac:dyDescent="0.25">
      <c r="A53" s="7"/>
      <c r="B53" s="7" t="s">
        <v>31</v>
      </c>
      <c r="C53" s="193" t="s">
        <v>28</v>
      </c>
      <c r="D53" s="193"/>
      <c r="E53" s="193"/>
      <c r="F53" s="193"/>
      <c r="G53" s="7"/>
      <c r="H53" s="7"/>
      <c r="I53" s="7"/>
      <c r="J53" s="58"/>
      <c r="K53" s="58">
        <f>'Motorista de Veiculo Pesado'!E90</f>
        <v>8468.4608078400015</v>
      </c>
      <c r="L53" s="7"/>
    </row>
    <row r="54" spans="1:12" ht="15.75" x14ac:dyDescent="0.25">
      <c r="A54" s="7"/>
      <c r="B54" s="7" t="s">
        <v>32</v>
      </c>
      <c r="C54" s="193" t="s">
        <v>29</v>
      </c>
      <c r="D54" s="193"/>
      <c r="E54" s="193"/>
      <c r="F54" s="193"/>
      <c r="G54" s="7"/>
      <c r="H54" s="7"/>
      <c r="I54" s="7"/>
      <c r="J54" s="58"/>
      <c r="K54" s="58">
        <f>'Monitor de Transporte Escolar'!E90</f>
        <v>4485.726463695999</v>
      </c>
      <c r="L54" s="7"/>
    </row>
    <row r="55" spans="1:12" ht="15.75" x14ac:dyDescent="0.25">
      <c r="A55" s="7" t="s">
        <v>30</v>
      </c>
      <c r="B55" s="7"/>
      <c r="C55" s="193" t="s">
        <v>34</v>
      </c>
      <c r="D55" s="193"/>
      <c r="E55" s="193"/>
      <c r="F55" s="193"/>
      <c r="G55" s="7"/>
      <c r="H55" s="7"/>
      <c r="I55" s="7"/>
      <c r="J55" s="58"/>
      <c r="K55" s="58"/>
      <c r="L55" s="56"/>
    </row>
    <row r="56" spans="1:12" ht="15.75" x14ac:dyDescent="0.25">
      <c r="A56" s="7"/>
      <c r="B56" s="7" t="s">
        <v>33</v>
      </c>
      <c r="C56" s="7" t="s">
        <v>35</v>
      </c>
      <c r="D56" s="7"/>
      <c r="E56" s="7"/>
      <c r="F56" s="7"/>
      <c r="G56" s="7"/>
      <c r="H56" s="7"/>
      <c r="I56" s="7"/>
      <c r="J56" s="58">
        <f>1/100*E12</f>
        <v>5310.6837999999998</v>
      </c>
      <c r="K56" s="58">
        <f>J56/12</f>
        <v>442.55698333333333</v>
      </c>
      <c r="L56" s="7"/>
    </row>
    <row r="57" spans="1:12" ht="15.75" x14ac:dyDescent="0.25">
      <c r="A57" s="7"/>
      <c r="B57" s="7" t="s">
        <v>36</v>
      </c>
      <c r="C57" s="7" t="s">
        <v>37</v>
      </c>
      <c r="D57" s="7"/>
      <c r="E57" s="7"/>
      <c r="F57" s="7"/>
      <c r="G57" s="7"/>
      <c r="H57" s="7"/>
      <c r="I57" s="7"/>
      <c r="J57" s="58">
        <v>230.25</v>
      </c>
      <c r="K57" s="58">
        <f>J57/12</f>
        <v>19.1875</v>
      </c>
      <c r="L57" s="7"/>
    </row>
    <row r="58" spans="1:12" ht="15.75" x14ac:dyDescent="0.25">
      <c r="A58" s="7"/>
      <c r="B58" s="7" t="s">
        <v>38</v>
      </c>
      <c r="C58" s="193" t="s">
        <v>39</v>
      </c>
      <c r="D58" s="193"/>
      <c r="E58" s="193"/>
      <c r="F58" s="193"/>
      <c r="G58" s="7"/>
      <c r="H58" s="7"/>
      <c r="I58" s="7"/>
      <c r="J58" s="58">
        <v>161.80000000000001</v>
      </c>
      <c r="K58" s="58">
        <f>J58/12</f>
        <v>13.483333333333334</v>
      </c>
      <c r="L58" s="7"/>
    </row>
    <row r="59" spans="1:12" ht="15.75" x14ac:dyDescent="0.25">
      <c r="A59" s="7" t="s">
        <v>41</v>
      </c>
      <c r="B59" s="7"/>
      <c r="C59" s="7" t="s">
        <v>40</v>
      </c>
      <c r="D59" s="7"/>
      <c r="E59" s="7"/>
      <c r="F59" s="7"/>
      <c r="G59" s="7"/>
      <c r="H59" s="7"/>
      <c r="I59" s="7"/>
      <c r="J59" s="58">
        <v>0</v>
      </c>
      <c r="K59" s="58">
        <f>J59/12</f>
        <v>0</v>
      </c>
      <c r="L59" s="7"/>
    </row>
    <row r="60" spans="1:12" ht="15.75" x14ac:dyDescent="0.25">
      <c r="A60" s="7" t="s">
        <v>57</v>
      </c>
      <c r="B60" s="7"/>
      <c r="C60" s="193" t="s">
        <v>58</v>
      </c>
      <c r="D60" s="193"/>
      <c r="E60" s="193"/>
      <c r="F60" s="193"/>
      <c r="G60" s="193"/>
      <c r="H60" s="7"/>
      <c r="I60" s="7"/>
      <c r="J60" s="58">
        <f>Insumos!$B$8</f>
        <v>350.88</v>
      </c>
      <c r="K60" s="58">
        <f>4*J60</f>
        <v>1403.52</v>
      </c>
      <c r="L60" s="7"/>
    </row>
    <row r="61" spans="1:12" ht="15.75" x14ac:dyDescent="0.25">
      <c r="A61" s="7" t="s">
        <v>60</v>
      </c>
      <c r="B61" s="7"/>
      <c r="C61" s="45" t="s">
        <v>63</v>
      </c>
      <c r="D61" s="45"/>
      <c r="E61" s="45"/>
      <c r="F61" s="45"/>
      <c r="G61" s="45"/>
      <c r="H61" s="7"/>
      <c r="I61" s="7"/>
      <c r="J61" s="58">
        <f>Insumos!$B$9</f>
        <v>2680.95</v>
      </c>
      <c r="K61" s="58">
        <f>J61/12</f>
        <v>223.41249999999999</v>
      </c>
      <c r="L61" s="7"/>
    </row>
    <row r="62" spans="1:12" ht="15.75" x14ac:dyDescent="0.25">
      <c r="A62" s="7" t="s">
        <v>61</v>
      </c>
      <c r="B62" s="7"/>
      <c r="C62" s="193" t="s">
        <v>62</v>
      </c>
      <c r="D62" s="193"/>
      <c r="E62" s="193"/>
      <c r="F62" s="45"/>
      <c r="G62" s="45"/>
      <c r="H62" s="7"/>
      <c r="I62" s="7"/>
      <c r="J62" s="60">
        <f>Insumos!$B$10</f>
        <v>932.23</v>
      </c>
      <c r="K62" s="58">
        <f>J62/12</f>
        <v>77.685833333333335</v>
      </c>
      <c r="L62" s="7"/>
    </row>
    <row r="63" spans="1:12" ht="15.75" x14ac:dyDescent="0.25">
      <c r="A63" s="7" t="s">
        <v>142</v>
      </c>
      <c r="B63" s="7"/>
      <c r="C63" s="203" t="s">
        <v>143</v>
      </c>
      <c r="D63" s="203"/>
      <c r="E63" s="203"/>
      <c r="F63" s="203"/>
      <c r="G63" s="164"/>
      <c r="H63" s="7"/>
      <c r="I63" s="7"/>
      <c r="J63" s="60">
        <f>Insumos!$B$11</f>
        <v>471.82</v>
      </c>
      <c r="K63" s="72">
        <f>J63/24</f>
        <v>19.659166666666668</v>
      </c>
      <c r="L63" s="7"/>
    </row>
    <row r="64" spans="1:12" ht="15.75" x14ac:dyDescent="0.25">
      <c r="A64" s="7" t="s">
        <v>340</v>
      </c>
      <c r="B64" s="7"/>
      <c r="C64" s="165" t="s">
        <v>343</v>
      </c>
      <c r="D64" s="165"/>
      <c r="E64" s="165"/>
      <c r="F64" s="165"/>
      <c r="G64" s="164"/>
      <c r="H64" s="7"/>
      <c r="I64" s="7"/>
      <c r="J64" s="60">
        <f>Insumos!$B$12</f>
        <v>14.372399999999997</v>
      </c>
      <c r="K64" s="72">
        <f>J64/60</f>
        <v>0.23953999999999995</v>
      </c>
      <c r="L64" s="7"/>
    </row>
    <row r="65" spans="1:13" ht="20.25" customHeight="1" x14ac:dyDescent="0.25">
      <c r="A65" s="259" t="s">
        <v>43</v>
      </c>
      <c r="B65" s="260"/>
      <c r="C65" s="260"/>
      <c r="D65" s="260"/>
      <c r="E65" s="260"/>
      <c r="F65" s="260"/>
      <c r="G65" s="260"/>
      <c r="H65" s="260"/>
      <c r="I65" s="260"/>
      <c r="J65" s="261"/>
      <c r="K65" s="67">
        <f>SUM(K51:K64)</f>
        <v>19136.944978202664</v>
      </c>
      <c r="L65" s="57" t="s">
        <v>16</v>
      </c>
      <c r="M65" s="4"/>
    </row>
    <row r="67" spans="1:13" ht="19.5" customHeight="1" x14ac:dyDescent="0.3">
      <c r="A67" s="262" t="s">
        <v>132</v>
      </c>
      <c r="B67" s="263"/>
      <c r="C67" s="263"/>
      <c r="D67" s="263"/>
      <c r="E67" s="263"/>
      <c r="F67" s="263"/>
      <c r="G67" s="263"/>
      <c r="H67" s="263"/>
      <c r="I67" s="264"/>
      <c r="K67" s="66">
        <f>K47+K65</f>
        <v>28775.191512740581</v>
      </c>
    </row>
    <row r="69" spans="1:13" ht="15.75" x14ac:dyDescent="0.25">
      <c r="A69" s="254" t="s">
        <v>133</v>
      </c>
      <c r="B69" s="255"/>
      <c r="C69" s="255"/>
      <c r="D69" s="255"/>
      <c r="E69" s="256"/>
      <c r="I69" s="265" t="s">
        <v>55</v>
      </c>
      <c r="J69" s="266"/>
    </row>
    <row r="70" spans="1:13" ht="15.75" x14ac:dyDescent="0.25">
      <c r="A70" s="7" t="s">
        <v>341</v>
      </c>
      <c r="B70" s="7"/>
      <c r="C70" s="193" t="s">
        <v>54</v>
      </c>
      <c r="D70" s="193"/>
      <c r="E70" s="193"/>
      <c r="F70" s="193"/>
      <c r="G70" s="7"/>
      <c r="H70" s="7"/>
      <c r="I70" s="168">
        <f>Insumos!$B$15</f>
        <v>2.6599999999999999E-2</v>
      </c>
      <c r="J70" s="7"/>
      <c r="K70" s="58">
        <f>I70*K67</f>
        <v>765.42009423889942</v>
      </c>
      <c r="L70" s="7"/>
    </row>
    <row r="71" spans="1:13" ht="15.75" x14ac:dyDescent="0.25">
      <c r="A71" s="7" t="s">
        <v>342</v>
      </c>
      <c r="B71" s="7"/>
      <c r="C71" s="193" t="s">
        <v>59</v>
      </c>
      <c r="D71" s="193"/>
      <c r="E71" s="193"/>
      <c r="F71" s="193"/>
      <c r="G71" s="7"/>
      <c r="H71" s="7"/>
      <c r="I71" s="169">
        <f>Insumos!$B$16</f>
        <v>0.04</v>
      </c>
      <c r="J71" s="7"/>
      <c r="K71" s="58">
        <f>I71*(K67+K70)</f>
        <v>1181.6244642791792</v>
      </c>
      <c r="L71" s="7"/>
    </row>
    <row r="72" spans="1:13" ht="18.75" x14ac:dyDescent="0.3">
      <c r="A72" s="7"/>
      <c r="B72" s="7"/>
      <c r="C72" s="7"/>
      <c r="D72" s="7"/>
      <c r="E72" s="7"/>
      <c r="F72" s="7"/>
      <c r="G72" s="7"/>
      <c r="H72" s="7"/>
      <c r="I72" s="7"/>
      <c r="J72" s="61" t="s">
        <v>131</v>
      </c>
      <c r="K72" s="65">
        <f>SUM(K70:K71)</f>
        <v>1947.0445585180787</v>
      </c>
      <c r="L72" s="54" t="s">
        <v>16</v>
      </c>
    </row>
    <row r="74" spans="1:13" ht="15.75" x14ac:dyDescent="0.25">
      <c r="A74" s="254" t="s">
        <v>134</v>
      </c>
      <c r="B74" s="255"/>
      <c r="C74" s="255"/>
      <c r="D74" s="255"/>
      <c r="E74" s="256"/>
      <c r="F74" s="7"/>
      <c r="G74" s="7"/>
      <c r="H74" s="7"/>
      <c r="I74" s="7"/>
      <c r="J74" s="7"/>
      <c r="K74" s="7"/>
      <c r="L74" s="7"/>
    </row>
    <row r="75" spans="1:13" ht="15.75" x14ac:dyDescent="0.25">
      <c r="A75" s="193" t="s">
        <v>42</v>
      </c>
      <c r="B75" s="193"/>
      <c r="C75" s="193"/>
      <c r="D75" s="193"/>
      <c r="E75" s="193"/>
      <c r="F75" s="193"/>
      <c r="G75" s="7"/>
      <c r="H75" s="7"/>
      <c r="I75" s="219" t="s">
        <v>47</v>
      </c>
      <c r="J75" s="220"/>
      <c r="K75" s="51">
        <f>K67+K72</f>
        <v>30722.23607125866</v>
      </c>
      <c r="L75" s="7"/>
    </row>
    <row r="76" spans="1:13" ht="15.75" x14ac:dyDescent="0.25">
      <c r="A76" s="7" t="s">
        <v>53</v>
      </c>
      <c r="C76" s="7" t="s">
        <v>44</v>
      </c>
      <c r="D76" s="7"/>
      <c r="E76" s="7"/>
      <c r="F76" s="7"/>
      <c r="G76" s="7"/>
      <c r="H76" s="7"/>
      <c r="I76" s="257">
        <f>Insumos!$B$18</f>
        <v>0.05</v>
      </c>
      <c r="J76" s="258"/>
      <c r="K76" s="51">
        <f>$K$75/(1-(SUM($I$76:$J$78)))*I76</f>
        <v>1681.5673821159639</v>
      </c>
      <c r="L76" s="7"/>
    </row>
    <row r="77" spans="1:13" ht="15.75" x14ac:dyDescent="0.25">
      <c r="A77" s="7" t="s">
        <v>344</v>
      </c>
      <c r="C77" s="7" t="s">
        <v>45</v>
      </c>
      <c r="D77" s="7"/>
      <c r="E77" s="7"/>
      <c r="F77" s="7"/>
      <c r="G77" s="7"/>
      <c r="H77" s="7"/>
      <c r="I77" s="257">
        <f>Insumos!$B$19</f>
        <v>6.4999999999999997E-3</v>
      </c>
      <c r="J77" s="258"/>
      <c r="K77" s="51">
        <f>$K$75/(1-(SUM($I$76:$J$78)))*I77</f>
        <v>218.60375967507528</v>
      </c>
      <c r="L77" s="7"/>
    </row>
    <row r="78" spans="1:13" ht="15.75" x14ac:dyDescent="0.25">
      <c r="A78" s="7" t="s">
        <v>345</v>
      </c>
      <c r="C78" s="7" t="s">
        <v>46</v>
      </c>
      <c r="D78" s="7"/>
      <c r="E78" s="7"/>
      <c r="F78" s="7"/>
      <c r="G78" s="7"/>
      <c r="H78" s="7"/>
      <c r="I78" s="257">
        <f>Insumos!$B$20</f>
        <v>0.03</v>
      </c>
      <c r="J78" s="258"/>
      <c r="K78" s="51">
        <f>$K$75/(1-(SUM($I$76:$J$78)))*I78</f>
        <v>1008.9404292695783</v>
      </c>
      <c r="L78" s="7"/>
    </row>
    <row r="79" spans="1:13" ht="21" customHeight="1" x14ac:dyDescent="0.3">
      <c r="A79" s="251" t="s">
        <v>48</v>
      </c>
      <c r="B79" s="252"/>
      <c r="C79" s="252"/>
      <c r="D79" s="252"/>
      <c r="E79" s="252"/>
      <c r="F79" s="252"/>
      <c r="G79" s="252"/>
      <c r="H79" s="252"/>
      <c r="I79" s="252"/>
      <c r="J79" s="253"/>
      <c r="K79" s="64">
        <f>SUM(K76:K78)</f>
        <v>2909.1115710606173</v>
      </c>
      <c r="L79" s="54" t="s">
        <v>16</v>
      </c>
    </row>
    <row r="81" spans="1:20" x14ac:dyDescent="0.25">
      <c r="C81" s="5"/>
      <c r="D81" s="5"/>
      <c r="E81" s="5"/>
      <c r="F81" s="5"/>
      <c r="K81" s="2"/>
    </row>
    <row r="82" spans="1:20" ht="15.75" x14ac:dyDescent="0.25">
      <c r="A82" s="191" t="s">
        <v>56</v>
      </c>
      <c r="B82" s="191"/>
      <c r="C82" s="191"/>
      <c r="D82" s="191"/>
      <c r="E82" s="191"/>
      <c r="F82" s="191"/>
      <c r="G82" s="191"/>
      <c r="H82" s="191"/>
      <c r="I82" s="191"/>
      <c r="T82" s="43"/>
    </row>
    <row r="83" spans="1:20" ht="15.75" x14ac:dyDescent="0.25">
      <c r="A83" s="6"/>
      <c r="B83" s="6"/>
      <c r="C83" s="6"/>
      <c r="D83" s="6"/>
      <c r="E83" s="6"/>
      <c r="F83" s="6"/>
      <c r="G83" s="6"/>
      <c r="H83" s="6"/>
      <c r="I83" s="6"/>
    </row>
    <row r="84" spans="1:20" ht="15.75" x14ac:dyDescent="0.25">
      <c r="A84" s="191" t="s">
        <v>51</v>
      </c>
      <c r="B84" s="192"/>
      <c r="C84" s="192"/>
      <c r="D84" s="192"/>
      <c r="E84" s="192"/>
      <c r="F84" s="192"/>
      <c r="G84" s="192"/>
      <c r="H84" s="192"/>
    </row>
    <row r="85" spans="1:20" ht="20.25" customHeight="1" x14ac:dyDescent="0.3">
      <c r="A85" s="193" t="s">
        <v>135</v>
      </c>
      <c r="B85" s="193"/>
      <c r="C85" s="193"/>
      <c r="D85" s="193"/>
      <c r="E85" s="193"/>
      <c r="F85" s="193"/>
      <c r="G85" s="193"/>
      <c r="H85" s="193"/>
      <c r="I85" s="193"/>
      <c r="J85" s="193"/>
      <c r="K85" s="62">
        <f>K67+K72+K79</f>
        <v>33631.347642319277</v>
      </c>
    </row>
    <row r="86" spans="1:20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2"/>
    </row>
    <row r="87" spans="1:20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2"/>
      <c r="P87" s="42"/>
    </row>
    <row r="88" spans="1:20" ht="8.25" customHeight="1" x14ac:dyDescent="0.25"/>
    <row r="89" spans="1:20" ht="16.5" customHeight="1" x14ac:dyDescent="0.25">
      <c r="A89" s="194" t="s">
        <v>49</v>
      </c>
      <c r="B89" s="195"/>
      <c r="C89" s="195"/>
      <c r="D89" s="195"/>
      <c r="E89" s="195"/>
      <c r="F89" s="195"/>
      <c r="G89" s="195"/>
      <c r="H89" s="195"/>
      <c r="I89" s="195"/>
      <c r="J89" s="195"/>
      <c r="K89" s="7"/>
      <c r="L89" s="7"/>
    </row>
    <row r="90" spans="1:20" ht="24.75" customHeight="1" x14ac:dyDescent="0.3">
      <c r="A90" s="196" t="s">
        <v>141</v>
      </c>
      <c r="B90" s="196"/>
      <c r="C90" s="196"/>
      <c r="D90" s="196"/>
      <c r="E90" s="196"/>
      <c r="F90" s="196"/>
      <c r="G90" s="196"/>
      <c r="H90" s="196"/>
      <c r="I90" s="196"/>
      <c r="J90" s="196"/>
      <c r="K90" s="71">
        <f>K85/O18</f>
        <v>18.858840613192964</v>
      </c>
      <c r="L90" s="63" t="s">
        <v>50</v>
      </c>
    </row>
    <row r="94" spans="1:20" s="10" customFormat="1" x14ac:dyDescent="0.25"/>
    <row r="95" spans="1:20" s="11" customFormat="1" ht="18.75" x14ac:dyDescent="0.3">
      <c r="B95" s="12" t="s">
        <v>69</v>
      </c>
      <c r="D95" s="188" t="s">
        <v>65</v>
      </c>
      <c r="E95" s="188"/>
      <c r="L95" s="12" t="s">
        <v>69</v>
      </c>
      <c r="M95" s="12"/>
      <c r="N95" s="12" t="s">
        <v>75</v>
      </c>
      <c r="O95" s="12"/>
    </row>
    <row r="96" spans="1:20" s="11" customFormat="1" x14ac:dyDescent="0.25"/>
    <row r="97" spans="2:18" s="11" customFormat="1" x14ac:dyDescent="0.25">
      <c r="B97" s="184" t="s">
        <v>66</v>
      </c>
      <c r="C97" s="184"/>
      <c r="D97" s="13"/>
      <c r="E97" s="13"/>
      <c r="F97" s="189">
        <v>288912</v>
      </c>
      <c r="G97" s="189"/>
      <c r="L97" s="13" t="s">
        <v>66</v>
      </c>
      <c r="M97" s="13"/>
      <c r="N97" s="13"/>
      <c r="O97" s="13"/>
      <c r="P97" s="13"/>
      <c r="Q97" s="30">
        <v>271500</v>
      </c>
    </row>
    <row r="98" spans="2:18" s="11" customFormat="1" x14ac:dyDescent="0.25">
      <c r="B98" s="13" t="s">
        <v>67</v>
      </c>
      <c r="D98" s="13"/>
      <c r="E98" s="13"/>
      <c r="F98" s="185">
        <v>10</v>
      </c>
      <c r="G98" s="185"/>
      <c r="H98" s="11" t="s">
        <v>154</v>
      </c>
      <c r="L98" s="13" t="s">
        <v>67</v>
      </c>
      <c r="M98" s="13"/>
      <c r="N98" s="13"/>
      <c r="O98" s="13"/>
      <c r="P98" s="13"/>
      <c r="Q98" s="13">
        <v>10</v>
      </c>
      <c r="R98" s="11" t="s">
        <v>154</v>
      </c>
    </row>
    <row r="99" spans="2:18" s="11" customFormat="1" x14ac:dyDescent="0.25">
      <c r="B99" s="13" t="s">
        <v>81</v>
      </c>
      <c r="D99" s="13"/>
      <c r="E99" s="13"/>
      <c r="F99" s="14"/>
      <c r="G99" s="14">
        <v>2018</v>
      </c>
      <c r="L99" s="13" t="s">
        <v>81</v>
      </c>
      <c r="N99" s="13"/>
      <c r="O99" s="13"/>
      <c r="P99" s="14"/>
      <c r="Q99" s="14">
        <v>2018</v>
      </c>
    </row>
    <row r="100" spans="2:18" s="11" customFormat="1" x14ac:dyDescent="0.25">
      <c r="B100" s="184" t="s">
        <v>68</v>
      </c>
      <c r="C100" s="184"/>
      <c r="D100" s="184"/>
      <c r="F100" s="185">
        <v>6</v>
      </c>
      <c r="G100" s="185"/>
      <c r="L100" s="13" t="s">
        <v>76</v>
      </c>
      <c r="M100" s="13"/>
      <c r="N100" s="13"/>
      <c r="O100" s="13"/>
      <c r="P100" s="13"/>
      <c r="Q100" s="13">
        <v>6</v>
      </c>
    </row>
    <row r="101" spans="2:18" s="11" customFormat="1" x14ac:dyDescent="0.25">
      <c r="B101" s="184" t="s">
        <v>71</v>
      </c>
      <c r="C101" s="184"/>
      <c r="D101" s="184"/>
      <c r="F101" s="14"/>
      <c r="G101" s="17">
        <v>100000</v>
      </c>
      <c r="L101" s="13" t="s">
        <v>71</v>
      </c>
      <c r="M101" s="13"/>
      <c r="N101" s="13"/>
      <c r="O101" s="13"/>
      <c r="P101" s="13"/>
      <c r="Q101" s="19">
        <v>100000</v>
      </c>
    </row>
    <row r="102" spans="2:18" s="11" customFormat="1" x14ac:dyDescent="0.25">
      <c r="B102" s="184" t="s">
        <v>72</v>
      </c>
      <c r="C102" s="184"/>
      <c r="D102" s="184"/>
      <c r="F102" s="14"/>
      <c r="G102" s="20">
        <v>1533.77</v>
      </c>
      <c r="L102" s="13" t="s">
        <v>72</v>
      </c>
      <c r="M102" s="13"/>
      <c r="N102" s="13"/>
      <c r="O102" s="13"/>
      <c r="P102" s="13"/>
      <c r="Q102" s="69">
        <v>860.69</v>
      </c>
    </row>
    <row r="103" spans="2:18" s="11" customFormat="1" x14ac:dyDescent="0.25">
      <c r="B103" s="184" t="s">
        <v>73</v>
      </c>
      <c r="C103" s="184"/>
      <c r="D103" s="15"/>
      <c r="F103" s="14"/>
      <c r="G103" s="14">
        <v>2.6</v>
      </c>
      <c r="H103" s="13" t="s">
        <v>74</v>
      </c>
      <c r="L103" s="13" t="s">
        <v>73</v>
      </c>
      <c r="M103" s="13"/>
      <c r="N103" s="13"/>
      <c r="O103" s="13"/>
      <c r="P103" s="13"/>
      <c r="Q103" s="13">
        <v>4.7</v>
      </c>
    </row>
    <row r="104" spans="2:18" s="11" customFormat="1" x14ac:dyDescent="0.25">
      <c r="B104" s="184" t="s">
        <v>70</v>
      </c>
      <c r="C104" s="184"/>
      <c r="D104" s="184"/>
      <c r="F104" s="185" t="s">
        <v>125</v>
      </c>
      <c r="G104" s="185"/>
      <c r="L104" s="13" t="s">
        <v>70</v>
      </c>
      <c r="M104" s="13"/>
      <c r="N104" s="13"/>
      <c r="O104" s="13"/>
      <c r="P104" s="13"/>
      <c r="Q104" s="13" t="s">
        <v>124</v>
      </c>
    </row>
    <row r="105" spans="2:18" s="11" customFormat="1" x14ac:dyDescent="0.25"/>
    <row r="106" spans="2:18" s="11" customFormat="1" x14ac:dyDescent="0.25"/>
    <row r="107" spans="2:18" s="11" customFormat="1" ht="18.75" x14ac:dyDescent="0.3">
      <c r="B107" s="12" t="s">
        <v>69</v>
      </c>
      <c r="C107" s="12"/>
      <c r="D107" s="12" t="s">
        <v>77</v>
      </c>
      <c r="E107" s="13"/>
      <c r="F107" s="13"/>
      <c r="G107" s="13"/>
      <c r="H107" s="13"/>
      <c r="L107" s="12" t="s">
        <v>69</v>
      </c>
      <c r="M107" s="16"/>
      <c r="N107" s="16"/>
      <c r="O107" s="12" t="s">
        <v>78</v>
      </c>
    </row>
    <row r="108" spans="2:18" s="11" customFormat="1" x14ac:dyDescent="0.25">
      <c r="B108" s="13"/>
      <c r="C108" s="13"/>
      <c r="D108" s="13"/>
      <c r="E108" s="13"/>
      <c r="F108" s="13"/>
      <c r="G108" s="13"/>
      <c r="H108" s="13"/>
    </row>
    <row r="109" spans="2:18" s="11" customFormat="1" x14ac:dyDescent="0.25">
      <c r="B109" s="184" t="s">
        <v>66</v>
      </c>
      <c r="C109" s="184"/>
      <c r="D109" s="13"/>
      <c r="E109" s="13"/>
      <c r="F109" s="185">
        <v>400</v>
      </c>
      <c r="G109" s="185"/>
      <c r="H109" s="13"/>
      <c r="L109" s="184" t="s">
        <v>66</v>
      </c>
      <c r="M109" s="184"/>
      <c r="N109" s="13"/>
      <c r="O109" s="13"/>
      <c r="P109" s="185" t="s">
        <v>78</v>
      </c>
      <c r="Q109" s="185"/>
      <c r="R109" s="13"/>
    </row>
    <row r="110" spans="2:18" s="11" customFormat="1" x14ac:dyDescent="0.25">
      <c r="B110" s="13" t="s">
        <v>67</v>
      </c>
      <c r="C110" s="13"/>
      <c r="D110" s="13"/>
      <c r="E110" s="13"/>
      <c r="F110" s="185">
        <v>10</v>
      </c>
      <c r="G110" s="185"/>
      <c r="H110" s="13" t="s">
        <v>154</v>
      </c>
      <c r="L110" s="13" t="s">
        <v>67</v>
      </c>
      <c r="M110" s="13"/>
      <c r="N110" s="13"/>
      <c r="O110" s="13"/>
      <c r="P110" s="185">
        <v>8</v>
      </c>
      <c r="Q110" s="185"/>
      <c r="R110" s="13" t="s">
        <v>154</v>
      </c>
    </row>
    <row r="111" spans="2:18" s="11" customFormat="1" x14ac:dyDescent="0.25">
      <c r="B111" s="13" t="s">
        <v>81</v>
      </c>
      <c r="D111" s="13"/>
      <c r="E111" s="13"/>
      <c r="F111" s="14"/>
      <c r="G111" s="14" t="s">
        <v>82</v>
      </c>
      <c r="L111" s="13" t="s">
        <v>81</v>
      </c>
      <c r="N111" s="13"/>
      <c r="O111" s="13"/>
      <c r="P111" s="14"/>
      <c r="Q111" s="14" t="s">
        <v>83</v>
      </c>
      <c r="R111" s="13"/>
    </row>
    <row r="112" spans="2:18" s="11" customFormat="1" x14ac:dyDescent="0.25">
      <c r="B112" s="184" t="s">
        <v>68</v>
      </c>
      <c r="C112" s="184"/>
      <c r="D112" s="184"/>
      <c r="E112" s="13"/>
      <c r="F112" s="185" t="s">
        <v>87</v>
      </c>
      <c r="G112" s="185"/>
      <c r="H112" s="13"/>
      <c r="L112" s="184" t="s">
        <v>68</v>
      </c>
      <c r="M112" s="184"/>
      <c r="N112" s="184"/>
      <c r="O112" s="13"/>
      <c r="P112" s="185" t="s">
        <v>88</v>
      </c>
      <c r="Q112" s="185"/>
      <c r="R112" s="13"/>
    </row>
    <row r="113" spans="2:21" s="11" customFormat="1" x14ac:dyDescent="0.25">
      <c r="B113" s="184" t="s">
        <v>71</v>
      </c>
      <c r="C113" s="184"/>
      <c r="D113" s="184"/>
      <c r="E113" s="13"/>
      <c r="F113" s="14"/>
      <c r="G113" s="14" t="s">
        <v>89</v>
      </c>
      <c r="H113" s="13"/>
      <c r="L113" s="184" t="s">
        <v>71</v>
      </c>
      <c r="M113" s="184"/>
      <c r="N113" s="184"/>
      <c r="O113" s="13"/>
      <c r="P113" s="14"/>
      <c r="Q113" s="14" t="s">
        <v>90</v>
      </c>
      <c r="R113" s="13"/>
    </row>
    <row r="114" spans="2:21" s="11" customFormat="1" x14ac:dyDescent="0.25">
      <c r="B114" s="184" t="s">
        <v>72</v>
      </c>
      <c r="C114" s="184"/>
      <c r="D114" s="184"/>
      <c r="E114" s="13"/>
      <c r="F114" s="14"/>
      <c r="G114" s="14">
        <v>400</v>
      </c>
      <c r="H114" s="13"/>
      <c r="L114" s="184" t="s">
        <v>72</v>
      </c>
      <c r="M114" s="184"/>
      <c r="N114" s="184"/>
      <c r="O114" s="13"/>
      <c r="P114" s="14"/>
      <c r="Q114" s="14">
        <v>4444</v>
      </c>
      <c r="R114" s="13"/>
    </row>
    <row r="115" spans="2:21" s="11" customFormat="1" x14ac:dyDescent="0.25">
      <c r="B115" s="184" t="s">
        <v>73</v>
      </c>
      <c r="C115" s="184"/>
      <c r="D115" s="15"/>
      <c r="E115" s="13"/>
      <c r="F115" s="14"/>
      <c r="G115" s="14">
        <v>2</v>
      </c>
      <c r="H115" s="13" t="s">
        <v>74</v>
      </c>
      <c r="L115" s="184" t="s">
        <v>73</v>
      </c>
      <c r="M115" s="184"/>
      <c r="N115" s="15"/>
      <c r="O115" s="13"/>
      <c r="P115" s="14"/>
      <c r="Q115" s="14">
        <v>4</v>
      </c>
      <c r="R115" s="13" t="s">
        <v>74</v>
      </c>
    </row>
    <row r="116" spans="2:21" s="11" customFormat="1" x14ac:dyDescent="0.25">
      <c r="B116" s="184" t="s">
        <v>70</v>
      </c>
      <c r="C116" s="184"/>
      <c r="D116" s="184"/>
      <c r="E116" s="13"/>
      <c r="F116" s="185" t="s">
        <v>85</v>
      </c>
      <c r="G116" s="185"/>
      <c r="H116" s="13"/>
      <c r="L116" s="184" t="s">
        <v>70</v>
      </c>
      <c r="M116" s="184"/>
      <c r="N116" s="184"/>
      <c r="O116" s="13"/>
      <c r="P116" s="185" t="s">
        <v>86</v>
      </c>
      <c r="Q116" s="185"/>
      <c r="R116" s="13"/>
    </row>
    <row r="117" spans="2:21" s="11" customFormat="1" x14ac:dyDescent="0.25"/>
    <row r="118" spans="2:21" s="11" customFormat="1" x14ac:dyDescent="0.25"/>
    <row r="119" spans="2:21" s="11" customFormat="1" ht="18.75" x14ac:dyDescent="0.3">
      <c r="Q119" s="12" t="s">
        <v>65</v>
      </c>
      <c r="R119" s="12"/>
      <c r="T119" s="13" t="s">
        <v>130</v>
      </c>
      <c r="U119" s="13"/>
    </row>
    <row r="120" spans="2:21" s="11" customFormat="1" ht="18.75" x14ac:dyDescent="0.3">
      <c r="Q120" s="12" t="s">
        <v>75</v>
      </c>
      <c r="T120" s="13" t="s">
        <v>129</v>
      </c>
      <c r="U120" s="13"/>
    </row>
    <row r="121" spans="2:21" s="11" customFormat="1" ht="18.75" x14ac:dyDescent="0.3">
      <c r="Q121" s="12" t="s">
        <v>77</v>
      </c>
    </row>
    <row r="122" spans="2:21" s="11" customFormat="1" ht="18" customHeight="1" x14ac:dyDescent="0.3">
      <c r="B122" s="186" t="s">
        <v>172</v>
      </c>
      <c r="C122" s="186"/>
      <c r="Q122" s="12" t="s">
        <v>78</v>
      </c>
    </row>
    <row r="123" spans="2:21" ht="0.75" hidden="1" customHeight="1" x14ac:dyDescent="0.25">
      <c r="B123" s="186"/>
      <c r="C123" s="186"/>
    </row>
    <row r="124" spans="2:21" hidden="1" x14ac:dyDescent="0.25">
      <c r="B124" s="186"/>
      <c r="C124" s="186"/>
    </row>
    <row r="125" spans="2:21" x14ac:dyDescent="0.25">
      <c r="B125" s="186"/>
      <c r="C125" s="186"/>
    </row>
    <row r="126" spans="2:21" ht="24.75" x14ac:dyDescent="0.25">
      <c r="B126" s="94" t="s">
        <v>173</v>
      </c>
      <c r="C126" s="9" t="s">
        <v>174</v>
      </c>
      <c r="D126" s="9"/>
      <c r="E126" s="9"/>
      <c r="F126" s="9" t="s">
        <v>175</v>
      </c>
      <c r="G126" s="9"/>
      <c r="H126" s="9"/>
      <c r="I126" s="9" t="s">
        <v>176</v>
      </c>
      <c r="J126" s="9"/>
      <c r="K126" s="9"/>
      <c r="L126" s="9" t="s">
        <v>177</v>
      </c>
      <c r="M126" s="9"/>
      <c r="N126" s="9"/>
    </row>
    <row r="127" spans="2:21" x14ac:dyDescent="0.25">
      <c r="B127" s="5">
        <v>40</v>
      </c>
      <c r="C127" s="2">
        <f>$K$42*(B127*21)</f>
        <v>4049.0369329846144</v>
      </c>
      <c r="F127" s="2">
        <f>(C127+$K$65)*0.05</f>
        <v>1159.2990955593639</v>
      </c>
      <c r="I127" s="2">
        <f>(C127+$K$65+F127)*6%</f>
        <v>1460.7168604047984</v>
      </c>
      <c r="L127" s="31">
        <f>(C127+$K$65+F127+I127)*14.25%</f>
        <v>3677.3546960690801</v>
      </c>
      <c r="M127" s="9"/>
      <c r="N127" s="9"/>
    </row>
    <row r="128" spans="2:21" x14ac:dyDescent="0.25">
      <c r="B128" s="5">
        <v>50</v>
      </c>
      <c r="C128" s="2">
        <f t="shared" ref="C128:C139" si="0">$K$42*(B128*21)</f>
        <v>5061.296166230768</v>
      </c>
      <c r="F128" s="2">
        <f t="shared" ref="F128:F139" si="1">(C128+$K$65)*0.05</f>
        <v>1209.9120572216716</v>
      </c>
      <c r="I128" s="2">
        <f t="shared" ref="I128:I139" si="2">(C128+$K$65+F128)*6%</f>
        <v>1524.4891920993061</v>
      </c>
      <c r="L128" s="31">
        <f t="shared" ref="L128:L139" si="3">(C128+$K$65+F128+I128)*14.25%</f>
        <v>3837.9015411100031</v>
      </c>
      <c r="M128" s="9"/>
      <c r="N128" s="9"/>
    </row>
    <row r="129" spans="2:14" x14ac:dyDescent="0.25">
      <c r="B129" s="5">
        <v>60</v>
      </c>
      <c r="C129" s="2">
        <f t="shared" si="0"/>
        <v>6073.5553994769216</v>
      </c>
      <c r="F129" s="2">
        <f t="shared" si="1"/>
        <v>1260.5250188839793</v>
      </c>
      <c r="I129" s="2">
        <f t="shared" si="2"/>
        <v>1588.2615237938137</v>
      </c>
      <c r="L129" s="31">
        <f t="shared" si="3"/>
        <v>3998.4483861509261</v>
      </c>
      <c r="M129" s="9"/>
      <c r="N129" s="9"/>
    </row>
    <row r="130" spans="2:14" x14ac:dyDescent="0.25">
      <c r="B130" s="5">
        <v>70</v>
      </c>
      <c r="C130" s="2">
        <f t="shared" si="0"/>
        <v>7085.8146327230752</v>
      </c>
      <c r="F130" s="2">
        <f t="shared" si="1"/>
        <v>1311.1379805462871</v>
      </c>
      <c r="I130" s="2">
        <f t="shared" si="2"/>
        <v>1652.0338554883215</v>
      </c>
      <c r="L130" s="31">
        <f t="shared" si="3"/>
        <v>4158.9952311918487</v>
      </c>
      <c r="M130" s="9"/>
      <c r="N130" s="9"/>
    </row>
    <row r="131" spans="2:14" x14ac:dyDescent="0.25">
      <c r="B131" s="5">
        <v>80</v>
      </c>
      <c r="C131" s="2">
        <f t="shared" si="0"/>
        <v>8098.0738659692288</v>
      </c>
      <c r="F131" s="2">
        <f t="shared" si="1"/>
        <v>1361.7509422085948</v>
      </c>
      <c r="I131" s="2">
        <f t="shared" si="2"/>
        <v>1715.806187182829</v>
      </c>
      <c r="L131" s="31">
        <f t="shared" si="3"/>
        <v>4319.5420762327722</v>
      </c>
      <c r="M131" s="9"/>
      <c r="N131" s="9"/>
    </row>
    <row r="132" spans="2:14" x14ac:dyDescent="0.25">
      <c r="B132" s="5">
        <v>90</v>
      </c>
      <c r="C132" s="2">
        <f t="shared" si="0"/>
        <v>9110.3330992153824</v>
      </c>
      <c r="F132" s="2">
        <f t="shared" si="1"/>
        <v>1412.3639038709025</v>
      </c>
      <c r="I132" s="2">
        <f t="shared" si="2"/>
        <v>1779.578518877337</v>
      </c>
      <c r="L132" s="31">
        <f t="shared" si="3"/>
        <v>4480.0889212736956</v>
      </c>
      <c r="M132" s="9"/>
      <c r="N132" s="9"/>
    </row>
    <row r="133" spans="2:14" x14ac:dyDescent="0.25">
      <c r="B133" s="5">
        <v>100</v>
      </c>
      <c r="C133" s="2">
        <f t="shared" si="0"/>
        <v>10122.592332461536</v>
      </c>
      <c r="F133" s="2">
        <f t="shared" si="1"/>
        <v>1462.97686553321</v>
      </c>
      <c r="I133" s="2">
        <f t="shared" si="2"/>
        <v>1843.3508505718444</v>
      </c>
      <c r="L133" s="31">
        <f t="shared" si="3"/>
        <v>4640.6357663146182</v>
      </c>
      <c r="M133" s="9"/>
      <c r="N133" s="9"/>
    </row>
    <row r="134" spans="2:14" x14ac:dyDescent="0.25">
      <c r="B134" s="5">
        <v>110</v>
      </c>
      <c r="C134" s="2">
        <f t="shared" si="0"/>
        <v>11134.85156570769</v>
      </c>
      <c r="F134" s="2">
        <f t="shared" si="1"/>
        <v>1513.5898271955177</v>
      </c>
      <c r="I134" s="2">
        <f t="shared" si="2"/>
        <v>1907.1231822663524</v>
      </c>
      <c r="L134" s="31">
        <f t="shared" si="3"/>
        <v>4801.1826113555417</v>
      </c>
      <c r="M134" s="9"/>
      <c r="N134" s="9"/>
    </row>
    <row r="135" spans="2:14" x14ac:dyDescent="0.25">
      <c r="B135" s="5">
        <v>120</v>
      </c>
      <c r="C135" s="2">
        <f t="shared" si="0"/>
        <v>12147.110798953843</v>
      </c>
      <c r="F135" s="2">
        <f t="shared" si="1"/>
        <v>1564.2027888578255</v>
      </c>
      <c r="I135" s="2">
        <f t="shared" si="2"/>
        <v>1970.8955139608597</v>
      </c>
      <c r="L135" s="31">
        <f t="shared" si="3"/>
        <v>4961.7294563964642</v>
      </c>
      <c r="M135" s="9"/>
      <c r="N135" s="9"/>
    </row>
    <row r="136" spans="2:14" x14ac:dyDescent="0.25">
      <c r="B136" s="5">
        <v>130</v>
      </c>
      <c r="C136" s="2">
        <f t="shared" si="0"/>
        <v>13159.370032199997</v>
      </c>
      <c r="F136" s="2">
        <f t="shared" si="1"/>
        <v>1614.8157505201332</v>
      </c>
      <c r="I136" s="2">
        <f t="shared" si="2"/>
        <v>2034.6678456553677</v>
      </c>
      <c r="L136" s="31">
        <f t="shared" si="3"/>
        <v>5122.2763014373886</v>
      </c>
      <c r="M136" s="9"/>
      <c r="N136" s="9"/>
    </row>
    <row r="137" spans="2:14" x14ac:dyDescent="0.25">
      <c r="B137" s="5">
        <v>140</v>
      </c>
      <c r="C137" s="2">
        <f t="shared" si="0"/>
        <v>14171.62926544615</v>
      </c>
      <c r="F137" s="2">
        <f t="shared" si="1"/>
        <v>1665.4287121824409</v>
      </c>
      <c r="I137" s="2">
        <f t="shared" si="2"/>
        <v>2098.4401773498753</v>
      </c>
      <c r="L137" s="31">
        <f t="shared" si="3"/>
        <v>5282.8231464783103</v>
      </c>
      <c r="M137" s="9"/>
      <c r="N137" s="9"/>
    </row>
    <row r="138" spans="2:14" x14ac:dyDescent="0.25">
      <c r="B138" s="5">
        <v>150</v>
      </c>
      <c r="C138" s="2">
        <f t="shared" si="0"/>
        <v>15183.888498692304</v>
      </c>
      <c r="F138" s="2">
        <f t="shared" si="1"/>
        <v>1716.0416738447486</v>
      </c>
      <c r="I138" s="2">
        <f t="shared" si="2"/>
        <v>2162.2125090443828</v>
      </c>
      <c r="L138" s="31">
        <f t="shared" si="3"/>
        <v>5443.3699915192337</v>
      </c>
      <c r="M138" s="9"/>
      <c r="N138" s="9"/>
    </row>
    <row r="139" spans="2:14" x14ac:dyDescent="0.25">
      <c r="B139" s="5">
        <v>160</v>
      </c>
      <c r="C139" s="2">
        <f t="shared" si="0"/>
        <v>16196.147731938458</v>
      </c>
      <c r="F139" s="2">
        <f t="shared" si="1"/>
        <v>1766.6546355070561</v>
      </c>
      <c r="I139" s="2">
        <f t="shared" si="2"/>
        <v>2225.9848407388904</v>
      </c>
      <c r="L139" s="31">
        <f t="shared" si="3"/>
        <v>5603.9168365601563</v>
      </c>
      <c r="M139" s="9"/>
      <c r="N139" s="9"/>
    </row>
    <row r="140" spans="2:14" x14ac:dyDescent="0.25">
      <c r="B140" s="5"/>
    </row>
    <row r="143" spans="2:14" x14ac:dyDescent="0.25">
      <c r="B143" s="187" t="s">
        <v>178</v>
      </c>
      <c r="C143" s="187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</row>
    <row r="144" spans="2:14" x14ac:dyDescent="0.25">
      <c r="B144" s="187"/>
      <c r="C144" s="187"/>
    </row>
    <row r="145" spans="2:14" x14ac:dyDescent="0.25">
      <c r="B145" s="187"/>
      <c r="C145" s="187"/>
    </row>
    <row r="146" spans="2:14" x14ac:dyDescent="0.25">
      <c r="B146" s="187"/>
      <c r="C146" s="187"/>
    </row>
    <row r="147" spans="2:14" ht="24.75" x14ac:dyDescent="0.25">
      <c r="B147" s="94" t="s">
        <v>173</v>
      </c>
      <c r="C147" s="9" t="s">
        <v>174</v>
      </c>
      <c r="D147" s="9"/>
      <c r="E147" s="9"/>
      <c r="F147" s="9" t="s">
        <v>175</v>
      </c>
      <c r="G147" s="9"/>
      <c r="H147" s="9"/>
      <c r="I147" s="9" t="s">
        <v>176</v>
      </c>
      <c r="J147" s="9"/>
      <c r="K147" s="9"/>
      <c r="L147" s="9" t="s">
        <v>177</v>
      </c>
      <c r="M147" s="9"/>
      <c r="N147" s="9"/>
    </row>
    <row r="148" spans="2:14" x14ac:dyDescent="0.25">
      <c r="B148" s="5">
        <v>40</v>
      </c>
      <c r="C148" s="2">
        <f>($K$42*(B148*21))*1.154</f>
        <v>4672.5886206642444</v>
      </c>
      <c r="F148" s="2">
        <f>(C148+$K$65)*0.05</f>
        <v>1190.4766799433455</v>
      </c>
      <c r="I148" s="2">
        <f>(C148+$K$65+F148)*6%</f>
        <v>1500.0006167286153</v>
      </c>
      <c r="L148" s="31">
        <f>(C148+$K$65+F148+I148)*14.25%</f>
        <v>3776.2515526142888</v>
      </c>
      <c r="M148" s="9"/>
      <c r="N148" s="9"/>
    </row>
    <row r="149" spans="2:14" x14ac:dyDescent="0.25">
      <c r="B149" s="5">
        <v>50</v>
      </c>
      <c r="C149" s="2">
        <f t="shared" ref="C149:C160" si="4">($K$42*(B149*21))*1.154</f>
        <v>5840.735775830306</v>
      </c>
      <c r="F149" s="2">
        <f t="shared" ref="F149:F160" si="5">(C149+$K$65)*0.05</f>
        <v>1248.8840377016486</v>
      </c>
      <c r="I149" s="2">
        <f t="shared" ref="I149:I160" si="6">(C149+$K$65+F149)*6%</f>
        <v>1573.593887504077</v>
      </c>
      <c r="L149" s="31">
        <f t="shared" ref="L149:L160" si="7">(C149+$K$65+F149+I149)*14.25%</f>
        <v>3961.5226117915136</v>
      </c>
      <c r="M149" s="9"/>
      <c r="N149" s="9"/>
    </row>
    <row r="150" spans="2:14" x14ac:dyDescent="0.25">
      <c r="B150" s="5">
        <v>60</v>
      </c>
      <c r="C150" s="2">
        <f t="shared" si="4"/>
        <v>7008.8829309963667</v>
      </c>
      <c r="F150" s="2">
        <f t="shared" si="5"/>
        <v>1307.2913954599517</v>
      </c>
      <c r="I150" s="2">
        <f t="shared" si="6"/>
        <v>1647.1871582795388</v>
      </c>
      <c r="L150" s="31">
        <f t="shared" si="7"/>
        <v>4146.7936709687392</v>
      </c>
      <c r="M150" s="9"/>
      <c r="N150" s="9"/>
    </row>
    <row r="151" spans="2:14" x14ac:dyDescent="0.25">
      <c r="B151" s="5">
        <v>70</v>
      </c>
      <c r="C151" s="2">
        <f t="shared" si="4"/>
        <v>8177.0300861624282</v>
      </c>
      <c r="F151" s="2">
        <f t="shared" si="5"/>
        <v>1365.6987532182548</v>
      </c>
      <c r="I151" s="2">
        <f t="shared" si="6"/>
        <v>1720.7804290550007</v>
      </c>
      <c r="L151" s="31">
        <f t="shared" si="7"/>
        <v>4332.0647301459639</v>
      </c>
      <c r="M151" s="9"/>
      <c r="N151" s="9"/>
    </row>
    <row r="152" spans="2:14" x14ac:dyDescent="0.25">
      <c r="B152" s="5">
        <v>80</v>
      </c>
      <c r="C152" s="2">
        <f t="shared" si="4"/>
        <v>9345.1772413284889</v>
      </c>
      <c r="F152" s="2">
        <f t="shared" si="5"/>
        <v>1424.1061109765578</v>
      </c>
      <c r="I152" s="2">
        <f t="shared" si="6"/>
        <v>1794.3736998304626</v>
      </c>
      <c r="L152" s="31">
        <f t="shared" si="7"/>
        <v>4517.3357893231896</v>
      </c>
      <c r="M152" s="9"/>
      <c r="N152" s="9"/>
    </row>
    <row r="153" spans="2:14" x14ac:dyDescent="0.25">
      <c r="B153" s="5">
        <v>90</v>
      </c>
      <c r="C153" s="2">
        <f t="shared" si="4"/>
        <v>10513.32439649455</v>
      </c>
      <c r="F153" s="2">
        <f t="shared" si="5"/>
        <v>1482.5134687348609</v>
      </c>
      <c r="I153" s="2">
        <f t="shared" si="6"/>
        <v>1867.9669706059244</v>
      </c>
      <c r="L153" s="31">
        <f t="shared" si="7"/>
        <v>4702.6068485004143</v>
      </c>
      <c r="M153" s="9"/>
      <c r="N153" s="9"/>
    </row>
    <row r="154" spans="2:14" x14ac:dyDescent="0.25">
      <c r="B154" s="5">
        <v>100</v>
      </c>
      <c r="C154" s="2">
        <f t="shared" si="4"/>
        <v>11681.471551660612</v>
      </c>
      <c r="F154" s="2">
        <f t="shared" si="5"/>
        <v>1540.920826493164</v>
      </c>
      <c r="I154" s="2">
        <f t="shared" si="6"/>
        <v>1941.5602413813863</v>
      </c>
      <c r="L154" s="31">
        <f t="shared" si="7"/>
        <v>4887.8779076776391</v>
      </c>
      <c r="M154" s="9"/>
      <c r="N154" s="9"/>
    </row>
    <row r="155" spans="2:14" x14ac:dyDescent="0.25">
      <c r="B155" s="5">
        <v>110</v>
      </c>
      <c r="C155" s="2">
        <f t="shared" si="4"/>
        <v>12849.618706826674</v>
      </c>
      <c r="F155" s="2">
        <f t="shared" si="5"/>
        <v>1599.3281842514671</v>
      </c>
      <c r="I155" s="2">
        <f t="shared" si="6"/>
        <v>2015.1535121568484</v>
      </c>
      <c r="L155" s="31">
        <f t="shared" si="7"/>
        <v>5073.1489668548647</v>
      </c>
      <c r="M155" s="9"/>
      <c r="N155" s="9"/>
    </row>
    <row r="156" spans="2:14" x14ac:dyDescent="0.25">
      <c r="B156" s="5">
        <v>120</v>
      </c>
      <c r="C156" s="2">
        <f t="shared" si="4"/>
        <v>14017.765861992733</v>
      </c>
      <c r="F156" s="2">
        <f t="shared" si="5"/>
        <v>1657.7355420097699</v>
      </c>
      <c r="I156" s="2">
        <f t="shared" si="6"/>
        <v>2088.7467829323095</v>
      </c>
      <c r="L156" s="31">
        <f t="shared" si="7"/>
        <v>5258.4200260320886</v>
      </c>
      <c r="M156" s="9"/>
      <c r="N156" s="9"/>
    </row>
    <row r="157" spans="2:14" x14ac:dyDescent="0.25">
      <c r="B157" s="5">
        <v>130</v>
      </c>
      <c r="C157" s="2">
        <f t="shared" si="4"/>
        <v>15185.913017158795</v>
      </c>
      <c r="F157" s="2">
        <f t="shared" si="5"/>
        <v>1716.1428997680732</v>
      </c>
      <c r="I157" s="2">
        <f t="shared" si="6"/>
        <v>2162.3400537077719</v>
      </c>
      <c r="L157" s="31">
        <f t="shared" si="7"/>
        <v>5443.6910852093151</v>
      </c>
      <c r="M157" s="9"/>
      <c r="N157" s="9"/>
    </row>
    <row r="158" spans="2:14" x14ac:dyDescent="0.25">
      <c r="B158" s="5">
        <v>140</v>
      </c>
      <c r="C158" s="2">
        <f t="shared" si="4"/>
        <v>16354.060172324856</v>
      </c>
      <c r="F158" s="2">
        <f t="shared" si="5"/>
        <v>1774.5502575263761</v>
      </c>
      <c r="I158" s="2">
        <f t="shared" si="6"/>
        <v>2235.9333244832337</v>
      </c>
      <c r="L158" s="31">
        <f t="shared" si="7"/>
        <v>5628.9621443865399</v>
      </c>
      <c r="M158" s="9"/>
      <c r="N158" s="9"/>
    </row>
    <row r="159" spans="2:14" x14ac:dyDescent="0.25">
      <c r="B159" s="5">
        <v>150</v>
      </c>
      <c r="C159" s="2">
        <f t="shared" si="4"/>
        <v>17522.207327490916</v>
      </c>
      <c r="F159" s="2">
        <f t="shared" si="5"/>
        <v>1832.9576152846794</v>
      </c>
      <c r="I159" s="2">
        <f t="shared" si="6"/>
        <v>2309.5265952586956</v>
      </c>
      <c r="L159" s="31">
        <f t="shared" si="7"/>
        <v>5814.2332035637655</v>
      </c>
      <c r="M159" s="9"/>
      <c r="N159" s="9"/>
    </row>
    <row r="160" spans="2:14" x14ac:dyDescent="0.25">
      <c r="B160" s="5">
        <v>160</v>
      </c>
      <c r="C160" s="2">
        <f t="shared" si="4"/>
        <v>18690.354482656978</v>
      </c>
      <c r="F160" s="2">
        <f t="shared" si="5"/>
        <v>1891.3649730429822</v>
      </c>
      <c r="I160" s="2">
        <f t="shared" si="6"/>
        <v>2383.1198660341574</v>
      </c>
      <c r="L160" s="31">
        <f t="shared" si="7"/>
        <v>5999.5042627409903</v>
      </c>
      <c r="M160" s="9"/>
      <c r="N160" s="9"/>
    </row>
  </sheetData>
  <mergeCells count="121">
    <mergeCell ref="A11:F11"/>
    <mergeCell ref="K11:N11"/>
    <mergeCell ref="A12:C12"/>
    <mergeCell ref="E12:F12"/>
    <mergeCell ref="K12:N12"/>
    <mergeCell ref="A13:D13"/>
    <mergeCell ref="E13:F13"/>
    <mergeCell ref="K13:N13"/>
    <mergeCell ref="C2:F6"/>
    <mergeCell ref="H3:P5"/>
    <mergeCell ref="F7:H7"/>
    <mergeCell ref="K7:N7"/>
    <mergeCell ref="B8:C8"/>
    <mergeCell ref="I9:P9"/>
    <mergeCell ref="A9:F9"/>
    <mergeCell ref="O16:O17"/>
    <mergeCell ref="P16:P17"/>
    <mergeCell ref="T17:V17"/>
    <mergeCell ref="A14:D14"/>
    <mergeCell ref="E14:F14"/>
    <mergeCell ref="K14:N15"/>
    <mergeCell ref="O14:O15"/>
    <mergeCell ref="P14:P15"/>
    <mergeCell ref="E15:F15"/>
    <mergeCell ref="K18:N18"/>
    <mergeCell ref="A19:F19"/>
    <mergeCell ref="A20:F20"/>
    <mergeCell ref="A23:F23"/>
    <mergeCell ref="A24:D24"/>
    <mergeCell ref="E24:F24"/>
    <mergeCell ref="A16:D16"/>
    <mergeCell ref="E16:F16"/>
    <mergeCell ref="K16:N17"/>
    <mergeCell ref="H21:N22"/>
    <mergeCell ref="A28:D28"/>
    <mergeCell ref="E28:F28"/>
    <mergeCell ref="A31:F31"/>
    <mergeCell ref="A32:D32"/>
    <mergeCell ref="E32:F32"/>
    <mergeCell ref="A33:D33"/>
    <mergeCell ref="A25:D25"/>
    <mergeCell ref="E25:F25"/>
    <mergeCell ref="A26:D26"/>
    <mergeCell ref="E26:F26"/>
    <mergeCell ref="A27:D27"/>
    <mergeCell ref="E27:F27"/>
    <mergeCell ref="B41:D41"/>
    <mergeCell ref="F41:H41"/>
    <mergeCell ref="A42:E42"/>
    <mergeCell ref="A43:J43"/>
    <mergeCell ref="A45:J45"/>
    <mergeCell ref="A47:J47"/>
    <mergeCell ref="A36:E36"/>
    <mergeCell ref="B37:D37"/>
    <mergeCell ref="E37:F37"/>
    <mergeCell ref="B38:D38"/>
    <mergeCell ref="B39:D39"/>
    <mergeCell ref="B40:D40"/>
    <mergeCell ref="C54:F54"/>
    <mergeCell ref="C55:F55"/>
    <mergeCell ref="C58:F58"/>
    <mergeCell ref="C60:G60"/>
    <mergeCell ref="C62:E62"/>
    <mergeCell ref="C63:F63"/>
    <mergeCell ref="A49:E49"/>
    <mergeCell ref="H50:I50"/>
    <mergeCell ref="C51:F51"/>
    <mergeCell ref="H51:I51"/>
    <mergeCell ref="C52:F52"/>
    <mergeCell ref="C53:F53"/>
    <mergeCell ref="A74:E74"/>
    <mergeCell ref="A75:F75"/>
    <mergeCell ref="I75:J75"/>
    <mergeCell ref="I76:J76"/>
    <mergeCell ref="I77:J77"/>
    <mergeCell ref="I78:J78"/>
    <mergeCell ref="A65:J65"/>
    <mergeCell ref="A67:I67"/>
    <mergeCell ref="A69:E69"/>
    <mergeCell ref="I69:J69"/>
    <mergeCell ref="C70:F70"/>
    <mergeCell ref="C71:F71"/>
    <mergeCell ref="D95:E95"/>
    <mergeCell ref="B97:C97"/>
    <mergeCell ref="F97:G97"/>
    <mergeCell ref="F98:G98"/>
    <mergeCell ref="B100:D100"/>
    <mergeCell ref="F100:G100"/>
    <mergeCell ref="A79:J79"/>
    <mergeCell ref="A82:I82"/>
    <mergeCell ref="A84:H84"/>
    <mergeCell ref="A85:J85"/>
    <mergeCell ref="A89:J89"/>
    <mergeCell ref="A90:J90"/>
    <mergeCell ref="L109:M109"/>
    <mergeCell ref="P109:Q109"/>
    <mergeCell ref="F110:G110"/>
    <mergeCell ref="P110:Q110"/>
    <mergeCell ref="B112:D112"/>
    <mergeCell ref="F112:G112"/>
    <mergeCell ref="L112:N112"/>
    <mergeCell ref="P112:Q112"/>
    <mergeCell ref="B101:D101"/>
    <mergeCell ref="B102:D102"/>
    <mergeCell ref="B103:C103"/>
    <mergeCell ref="B104:D104"/>
    <mergeCell ref="F104:G104"/>
    <mergeCell ref="B109:C109"/>
    <mergeCell ref="F109:G109"/>
    <mergeCell ref="B116:D116"/>
    <mergeCell ref="F116:G116"/>
    <mergeCell ref="L116:N116"/>
    <mergeCell ref="P116:Q116"/>
    <mergeCell ref="B122:C125"/>
    <mergeCell ref="B143:C146"/>
    <mergeCell ref="B113:D113"/>
    <mergeCell ref="L113:N113"/>
    <mergeCell ref="B114:D114"/>
    <mergeCell ref="L114:N114"/>
    <mergeCell ref="B115:C115"/>
    <mergeCell ref="L115:M115"/>
  </mergeCells>
  <conditionalFormatting sqref="P19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{24584996-2C2F-4B62-A695-63CE2CFC1E84}</x14:id>
        </ext>
      </extLst>
    </cfRule>
  </conditionalFormatting>
  <dataValidations count="3">
    <dataValidation type="list" allowBlank="1" showInputMessage="1" showErrorMessage="1" sqref="E15:F15">
      <formula1>"0,1,2,3,4,5,6,7,8,9,10,11,12,13,14,15"</formula1>
    </dataValidation>
    <dataValidation type="list" allowBlank="1" showInputMessage="1" showErrorMessage="1" sqref="L51">
      <formula1>"LINEAR, MÉTODO COLE"</formula1>
    </dataValidation>
    <dataValidation type="list" allowBlank="1" showInputMessage="1" showErrorMessage="1" sqref="F7:H7 T17:V17">
      <formula1>$Q$119:$Q$122</formula1>
    </dataValidation>
  </dataValidations>
  <pageMargins left="0.51181102362204722" right="0.51181102362204722" top="0.78740157480314965" bottom="0.78740157480314965" header="0.31496062992125984" footer="0.31496062992125984"/>
  <pageSetup paperSize="9" scale="50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4584996-2C2F-4B62-A695-63CE2CFC1E8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P19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3">
    <tabColor rgb="FF0070C0"/>
  </sheetPr>
  <dimension ref="A2:V160"/>
  <sheetViews>
    <sheetView tabSelected="1" view="pageBreakPreview" topLeftCell="A41" zoomScale="85" zoomScaleNormal="100" zoomScaleSheetLayoutView="85" workbookViewId="0">
      <selection activeCell="A57" sqref="A57"/>
    </sheetView>
  </sheetViews>
  <sheetFormatPr defaultColWidth="8.85546875" defaultRowHeight="15" x14ac:dyDescent="0.25"/>
  <cols>
    <col min="2" max="2" width="14.140625" customWidth="1"/>
    <col min="3" max="3" width="15.28515625" customWidth="1"/>
    <col min="5" max="5" width="12.42578125" customWidth="1"/>
    <col min="6" max="6" width="13.5703125" customWidth="1"/>
    <col min="7" max="7" width="12.140625" customWidth="1"/>
    <col min="9" max="9" width="10.7109375" customWidth="1"/>
    <col min="10" max="10" width="12.140625" bestFit="1" customWidth="1"/>
    <col min="11" max="11" width="16.42578125" bestFit="1" customWidth="1"/>
    <col min="12" max="12" width="14.42578125" customWidth="1"/>
    <col min="14" max="14" width="6.42578125" customWidth="1"/>
    <col min="15" max="15" width="9" customWidth="1"/>
    <col min="16" max="16" width="10.42578125" customWidth="1"/>
    <col min="17" max="17" width="15.140625" customWidth="1"/>
    <col min="18" max="18" width="14.7109375" bestFit="1" customWidth="1"/>
    <col min="19" max="19" width="19.42578125" bestFit="1" customWidth="1"/>
  </cols>
  <sheetData>
    <row r="2" spans="1:19" x14ac:dyDescent="0.25">
      <c r="C2" s="239" t="s">
        <v>151</v>
      </c>
      <c r="D2" s="240"/>
      <c r="E2" s="240"/>
      <c r="F2" s="240"/>
    </row>
    <row r="3" spans="1:19" x14ac:dyDescent="0.25">
      <c r="C3" s="240"/>
      <c r="D3" s="240"/>
      <c r="E3" s="240"/>
      <c r="F3" s="240"/>
      <c r="H3" s="241" t="s">
        <v>64</v>
      </c>
      <c r="I3" s="239"/>
      <c r="J3" s="239"/>
      <c r="K3" s="239"/>
      <c r="L3" s="239"/>
      <c r="M3" s="239"/>
      <c r="N3" s="239"/>
      <c r="O3" s="239"/>
      <c r="P3" s="239"/>
    </row>
    <row r="4" spans="1:19" x14ac:dyDescent="0.25">
      <c r="C4" s="240"/>
      <c r="D4" s="240"/>
      <c r="E4" s="240"/>
      <c r="F4" s="240"/>
      <c r="H4" s="239"/>
      <c r="I4" s="239"/>
      <c r="J4" s="239"/>
      <c r="K4" s="239"/>
      <c r="L4" s="239"/>
      <c r="M4" s="239"/>
      <c r="N4" s="239"/>
      <c r="O4" s="239"/>
      <c r="P4" s="239"/>
    </row>
    <row r="5" spans="1:19" x14ac:dyDescent="0.25">
      <c r="C5" s="240"/>
      <c r="D5" s="240"/>
      <c r="E5" s="240"/>
      <c r="F5" s="240"/>
      <c r="H5" s="239"/>
      <c r="I5" s="239"/>
      <c r="J5" s="239"/>
      <c r="K5" s="239"/>
      <c r="L5" s="239"/>
      <c r="M5" s="239"/>
      <c r="N5" s="239"/>
      <c r="O5" s="239"/>
      <c r="P5" s="239"/>
    </row>
    <row r="6" spans="1:19" x14ac:dyDescent="0.25">
      <c r="C6" s="240"/>
      <c r="D6" s="240"/>
      <c r="E6" s="240"/>
      <c r="F6" s="240"/>
    </row>
    <row r="7" spans="1:19" ht="21" x14ac:dyDescent="0.35">
      <c r="E7" s="18" t="s">
        <v>80</v>
      </c>
      <c r="F7" s="235" t="s">
        <v>65</v>
      </c>
      <c r="G7" s="235"/>
      <c r="H7" s="235"/>
      <c r="K7" s="242" t="s">
        <v>286</v>
      </c>
      <c r="L7" s="243"/>
      <c r="M7" s="243"/>
      <c r="N7" s="243"/>
    </row>
    <row r="8" spans="1:19" ht="15.75" x14ac:dyDescent="0.25">
      <c r="B8" s="194"/>
      <c r="C8" s="194"/>
      <c r="D8" s="8"/>
      <c r="E8" s="8"/>
      <c r="F8" s="8"/>
      <c r="J8" s="9"/>
    </row>
    <row r="9" spans="1:19" ht="21" x14ac:dyDescent="0.35">
      <c r="A9" s="235" t="s">
        <v>352</v>
      </c>
      <c r="B9" s="235"/>
      <c r="C9" s="235"/>
      <c r="D9" s="235"/>
      <c r="E9" s="235"/>
      <c r="F9" s="235"/>
      <c r="I9" s="244" t="s">
        <v>157</v>
      </c>
      <c r="J9" s="244"/>
      <c r="K9" s="244"/>
      <c r="L9" s="244"/>
      <c r="M9" s="244"/>
      <c r="N9" s="244"/>
      <c r="O9" s="244"/>
      <c r="P9" s="244"/>
      <c r="R9" s="9" t="s">
        <v>155</v>
      </c>
      <c r="S9" s="9" t="s">
        <v>156</v>
      </c>
    </row>
    <row r="10" spans="1:19" x14ac:dyDescent="0.25">
      <c r="R10" s="2">
        <f>K43</f>
        <v>0</v>
      </c>
      <c r="S10" s="43">
        <f>K45</f>
        <v>7692.4008556535009</v>
      </c>
    </row>
    <row r="11" spans="1:19" ht="17.25" x14ac:dyDescent="0.3">
      <c r="A11" s="236" t="s">
        <v>150</v>
      </c>
      <c r="B11" s="237"/>
      <c r="C11" s="237"/>
      <c r="D11" s="237"/>
      <c r="E11" s="237"/>
      <c r="F11" s="238"/>
      <c r="G11" s="40" t="s">
        <v>0</v>
      </c>
      <c r="K11" s="206" t="s">
        <v>15</v>
      </c>
      <c r="L11" s="206"/>
      <c r="M11" s="206"/>
      <c r="N11" s="206"/>
      <c r="O11" s="161">
        <f>O12+O13</f>
        <v>66</v>
      </c>
      <c r="P11" s="47" t="s">
        <v>14</v>
      </c>
      <c r="R11" s="130">
        <f>K65/O18*O14</f>
        <v>0</v>
      </c>
      <c r="S11" s="130">
        <f>K65/O18*O16</f>
        <v>19136.944978202664</v>
      </c>
    </row>
    <row r="12" spans="1:19" ht="15.75" x14ac:dyDescent="0.25">
      <c r="A12" s="214" t="s">
        <v>107</v>
      </c>
      <c r="B12" s="215"/>
      <c r="C12" s="215"/>
      <c r="D12" s="48"/>
      <c r="E12" s="218">
        <f>Insumos!$B$4</f>
        <v>531068.38</v>
      </c>
      <c r="F12" s="218"/>
      <c r="G12" s="1"/>
      <c r="K12" s="206" t="s">
        <v>136</v>
      </c>
      <c r="L12" s="206"/>
      <c r="M12" s="206"/>
      <c r="N12" s="206"/>
      <c r="O12" s="46">
        <v>0</v>
      </c>
      <c r="P12" s="47" t="s">
        <v>14</v>
      </c>
      <c r="R12" s="2">
        <f>K72/O18*O14</f>
        <v>0</v>
      </c>
      <c r="S12" s="2">
        <f>K72/O18*O16</f>
        <v>1815.3808565020433</v>
      </c>
    </row>
    <row r="13" spans="1:19" ht="15.75" x14ac:dyDescent="0.25">
      <c r="A13" s="214" t="s">
        <v>285</v>
      </c>
      <c r="B13" s="215"/>
      <c r="C13" s="215"/>
      <c r="D13" s="216"/>
      <c r="E13" s="198">
        <f>'DEPRECIAÇÃO LINEAR'!D15</f>
        <v>10</v>
      </c>
      <c r="F13" s="198"/>
      <c r="K13" s="206" t="s">
        <v>137</v>
      </c>
      <c r="L13" s="206"/>
      <c r="M13" s="206"/>
      <c r="N13" s="206"/>
      <c r="O13" s="150">
        <v>66</v>
      </c>
      <c r="P13" s="47" t="s">
        <v>14</v>
      </c>
      <c r="R13" s="2">
        <f>K79/O18*O14</f>
        <v>0</v>
      </c>
      <c r="S13" s="2">
        <f>K79/O18*O16</f>
        <v>2712.3906499353971</v>
      </c>
    </row>
    <row r="14" spans="1:19" ht="15" customHeight="1" x14ac:dyDescent="0.25">
      <c r="A14" s="214" t="s">
        <v>23</v>
      </c>
      <c r="B14" s="215"/>
      <c r="C14" s="215"/>
      <c r="D14" s="216"/>
      <c r="E14" s="219">
        <v>2026</v>
      </c>
      <c r="F14" s="220"/>
      <c r="K14" s="223" t="s">
        <v>138</v>
      </c>
      <c r="L14" s="223"/>
      <c r="M14" s="223"/>
      <c r="N14" s="223"/>
      <c r="O14" s="232">
        <f>O12*21</f>
        <v>0</v>
      </c>
      <c r="P14" s="234" t="s">
        <v>14</v>
      </c>
      <c r="R14" s="2">
        <f>SUM(R10:R13)</f>
        <v>0</v>
      </c>
      <c r="S14" s="2">
        <f>SUM(S10:S13)</f>
        <v>31357.117340293607</v>
      </c>
    </row>
    <row r="15" spans="1:19" ht="15.75" customHeight="1" x14ac:dyDescent="0.25">
      <c r="A15" s="49" t="s">
        <v>79</v>
      </c>
      <c r="B15" s="48"/>
      <c r="C15" s="48"/>
      <c r="D15" s="48"/>
      <c r="E15" s="198">
        <v>0</v>
      </c>
      <c r="F15" s="198"/>
      <c r="G15" s="41" t="s">
        <v>128</v>
      </c>
      <c r="I15" s="28"/>
      <c r="J15" s="28"/>
      <c r="K15" s="223"/>
      <c r="L15" s="223"/>
      <c r="M15" s="223"/>
      <c r="N15" s="223"/>
      <c r="O15" s="233"/>
      <c r="P15" s="234"/>
      <c r="R15" s="31">
        <f>IFERROR(R14/O14,0)</f>
        <v>0</v>
      </c>
      <c r="S15" s="31">
        <f>IFERROR(S14/O16,0)</f>
        <v>22.624182785204624</v>
      </c>
    </row>
    <row r="16" spans="1:19" ht="15" customHeight="1" x14ac:dyDescent="0.25">
      <c r="A16" s="214" t="s">
        <v>84</v>
      </c>
      <c r="B16" s="215"/>
      <c r="C16" s="215"/>
      <c r="D16" s="215"/>
      <c r="E16" s="198" t="str">
        <f>IF($F$7=$D$95,F104,IF($F$7=$D$107,F116,IF($F$7=$N$95,Q104,IF($F$7=$O$107,P116,""))))</f>
        <v>ATÉ 59 ALUNOS</v>
      </c>
      <c r="F16" s="198"/>
      <c r="I16" s="28"/>
      <c r="J16" s="28"/>
      <c r="K16" s="223" t="s">
        <v>139</v>
      </c>
      <c r="L16" s="223"/>
      <c r="M16" s="223"/>
      <c r="N16" s="223"/>
      <c r="O16" s="232">
        <f>O13*21</f>
        <v>1386</v>
      </c>
      <c r="P16" s="234" t="s">
        <v>14</v>
      </c>
    </row>
    <row r="17" spans="1:22" ht="15" customHeight="1" x14ac:dyDescent="0.35">
      <c r="I17" s="28"/>
      <c r="J17" s="28"/>
      <c r="K17" s="223"/>
      <c r="L17" s="223"/>
      <c r="M17" s="223"/>
      <c r="N17" s="223"/>
      <c r="O17" s="233"/>
      <c r="P17" s="234"/>
      <c r="R17" s="2">
        <f>R14+S14</f>
        <v>31357.117340293607</v>
      </c>
      <c r="T17" s="235"/>
      <c r="U17" s="235"/>
      <c r="V17" s="235"/>
    </row>
    <row r="18" spans="1:22" ht="15" customHeight="1" x14ac:dyDescent="0.25">
      <c r="I18" s="28"/>
      <c r="J18" s="28"/>
      <c r="K18" s="223" t="s">
        <v>140</v>
      </c>
      <c r="L18" s="223"/>
      <c r="M18" s="223"/>
      <c r="N18" s="223"/>
      <c r="O18" s="46">
        <f>O16+O14</f>
        <v>1386</v>
      </c>
      <c r="P18" s="47" t="s">
        <v>14</v>
      </c>
      <c r="R18" s="2">
        <f>R17/O18</f>
        <v>22.624182785204624</v>
      </c>
    </row>
    <row r="19" spans="1:22" ht="15.75" customHeight="1" x14ac:dyDescent="0.3">
      <c r="A19" s="224" t="s">
        <v>1</v>
      </c>
      <c r="B19" s="225"/>
      <c r="C19" s="225"/>
      <c r="D19" s="225"/>
      <c r="E19" s="225"/>
      <c r="F19" s="225"/>
      <c r="I19" s="29"/>
      <c r="J19" s="29"/>
      <c r="K19" s="29"/>
      <c r="L19" s="29"/>
      <c r="M19" s="29"/>
    </row>
    <row r="20" spans="1:22" ht="15" customHeight="1" thickBot="1" x14ac:dyDescent="0.3">
      <c r="A20" s="206" t="s">
        <v>106</v>
      </c>
      <c r="B20" s="206"/>
      <c r="C20" s="206"/>
      <c r="D20" s="206"/>
      <c r="E20" s="206"/>
      <c r="F20" s="206"/>
      <c r="I20" s="28"/>
      <c r="J20" s="28"/>
      <c r="K20" s="28"/>
      <c r="L20" s="28"/>
      <c r="M20" s="28"/>
      <c r="O20" s="93">
        <f>K90</f>
        <v>22.624182785204624</v>
      </c>
      <c r="R20" s="93">
        <f>K90</f>
        <v>22.624182785204624</v>
      </c>
    </row>
    <row r="21" spans="1:22" x14ac:dyDescent="0.25">
      <c r="H21" s="245" t="s">
        <v>301</v>
      </c>
      <c r="I21" s="246"/>
      <c r="J21" s="246"/>
      <c r="K21" s="246"/>
      <c r="L21" s="246"/>
      <c r="M21" s="246"/>
      <c r="N21" s="247"/>
      <c r="O21" s="2"/>
    </row>
    <row r="22" spans="1:22" ht="15.75" thickBot="1" x14ac:dyDescent="0.3">
      <c r="H22" s="248"/>
      <c r="I22" s="249"/>
      <c r="J22" s="249"/>
      <c r="K22" s="249"/>
      <c r="L22" s="249"/>
      <c r="M22" s="249"/>
      <c r="N22" s="250"/>
    </row>
    <row r="23" spans="1:22" ht="17.25" x14ac:dyDescent="0.3">
      <c r="A23" s="224" t="s">
        <v>2</v>
      </c>
      <c r="B23" s="225"/>
      <c r="C23" s="225"/>
      <c r="D23" s="225"/>
      <c r="E23" s="225"/>
      <c r="F23" s="225"/>
      <c r="L23" s="2"/>
    </row>
    <row r="24" spans="1:22" ht="15.75" x14ac:dyDescent="0.25">
      <c r="A24" s="214" t="s">
        <v>11</v>
      </c>
      <c r="B24" s="215"/>
      <c r="C24" s="215"/>
      <c r="D24" s="215"/>
      <c r="E24" s="198">
        <f>IF($F$7=$D$95,F100,IF($F$7=$D$107,F112,IF($F$7=$N$95,Q100,IF($F$7=$O$107,P112,""))))</f>
        <v>6</v>
      </c>
      <c r="F24" s="198"/>
    </row>
    <row r="25" spans="1:22" ht="15.75" x14ac:dyDescent="0.25">
      <c r="A25" s="214" t="s">
        <v>9</v>
      </c>
      <c r="B25" s="215"/>
      <c r="C25" s="215"/>
      <c r="D25" s="216"/>
      <c r="E25" s="218">
        <f>Insumos!$B$5</f>
        <v>2453.2399999999998</v>
      </c>
      <c r="F25" s="218"/>
    </row>
    <row r="26" spans="1:22" ht="15.75" x14ac:dyDescent="0.25">
      <c r="A26" s="214" t="s">
        <v>147</v>
      </c>
      <c r="B26" s="215"/>
      <c r="C26" s="215"/>
      <c r="D26" s="216"/>
      <c r="E26" s="219">
        <v>2</v>
      </c>
      <c r="F26" s="220"/>
    </row>
    <row r="27" spans="1:22" ht="15.75" x14ac:dyDescent="0.25">
      <c r="A27" s="214" t="s">
        <v>148</v>
      </c>
      <c r="B27" s="215"/>
      <c r="C27" s="215"/>
      <c r="D27" s="216"/>
      <c r="E27" s="221">
        <f>Insumos!$B$6</f>
        <v>975.83</v>
      </c>
      <c r="F27" s="222"/>
    </row>
    <row r="28" spans="1:22" ht="15.75" x14ac:dyDescent="0.25">
      <c r="A28" s="214" t="s">
        <v>149</v>
      </c>
      <c r="B28" s="215"/>
      <c r="C28" s="215"/>
      <c r="D28" s="216"/>
      <c r="E28" s="217">
        <v>100000</v>
      </c>
      <c r="F28" s="217"/>
    </row>
    <row r="31" spans="1:22" ht="15.75" x14ac:dyDescent="0.25">
      <c r="A31" s="191" t="s">
        <v>3</v>
      </c>
      <c r="B31" s="192"/>
      <c r="C31" s="192"/>
      <c r="D31" s="192"/>
      <c r="E31" s="192"/>
      <c r="F31" s="192"/>
    </row>
    <row r="32" spans="1:22" ht="15.75" x14ac:dyDescent="0.25">
      <c r="A32" s="214" t="s">
        <v>19</v>
      </c>
      <c r="B32" s="215"/>
      <c r="C32" s="215"/>
      <c r="D32" s="216"/>
      <c r="E32" s="218">
        <f>Insumos!$B$7</f>
        <v>7.6</v>
      </c>
      <c r="F32" s="218"/>
    </row>
    <row r="33" spans="1:14" ht="15.75" x14ac:dyDescent="0.25">
      <c r="A33" s="214" t="s">
        <v>17</v>
      </c>
      <c r="B33" s="215"/>
      <c r="C33" s="215"/>
      <c r="D33" s="216"/>
      <c r="E33" s="46">
        <f>IF($F$7=$D$95,G103,IF($F$7=$D$107,G115,IF($F$7=$N$95,Q103,IF($F$7=$O$107,Q115,""))))</f>
        <v>2.6</v>
      </c>
      <c r="F33" s="50" t="s">
        <v>18</v>
      </c>
    </row>
    <row r="36" spans="1:14" ht="17.25" x14ac:dyDescent="0.3">
      <c r="A36" s="208" t="s">
        <v>20</v>
      </c>
      <c r="B36" s="209"/>
      <c r="C36" s="209"/>
      <c r="D36" s="209"/>
      <c r="E36" s="209"/>
    </row>
    <row r="37" spans="1:14" x14ac:dyDescent="0.25">
      <c r="B37" s="210"/>
      <c r="C37" s="210"/>
      <c r="D37" s="211"/>
      <c r="E37" s="212" t="s">
        <v>4</v>
      </c>
      <c r="F37" s="213"/>
    </row>
    <row r="38" spans="1:14" ht="15.75" x14ac:dyDescent="0.25">
      <c r="A38" s="46" t="s">
        <v>346</v>
      </c>
      <c r="B38" s="214" t="s">
        <v>52</v>
      </c>
      <c r="C38" s="215"/>
      <c r="D38" s="216"/>
      <c r="E38" s="46">
        <f>1/E33</f>
        <v>0.38461538461538458</v>
      </c>
      <c r="F38" s="7" t="s">
        <v>5</v>
      </c>
      <c r="G38" s="7"/>
      <c r="H38" s="7"/>
      <c r="I38" s="7"/>
      <c r="J38" s="7"/>
      <c r="K38" s="58">
        <f>E32*E38</f>
        <v>2.9230769230769225</v>
      </c>
      <c r="L38" s="51" t="s">
        <v>13</v>
      </c>
      <c r="N38" s="2"/>
    </row>
    <row r="39" spans="1:14" ht="15.75" x14ac:dyDescent="0.25">
      <c r="A39" s="46" t="s">
        <v>6</v>
      </c>
      <c r="B39" s="206" t="s">
        <v>152</v>
      </c>
      <c r="C39" s="206"/>
      <c r="D39" s="206"/>
      <c r="E39" s="46">
        <v>0.04</v>
      </c>
      <c r="F39" s="7" t="s">
        <v>5</v>
      </c>
      <c r="G39" s="7"/>
      <c r="H39" s="7"/>
      <c r="I39" s="7"/>
      <c r="J39" s="7"/>
      <c r="K39" s="58">
        <f>E39*E32</f>
        <v>0.30399999999999999</v>
      </c>
      <c r="L39" s="51" t="s">
        <v>13</v>
      </c>
    </row>
    <row r="40" spans="1:14" ht="15.75" x14ac:dyDescent="0.25">
      <c r="A40" s="46" t="s">
        <v>7</v>
      </c>
      <c r="B40" s="206" t="s">
        <v>8</v>
      </c>
      <c r="C40" s="206"/>
      <c r="D40" s="206"/>
      <c r="E40" s="46"/>
      <c r="F40" s="7"/>
      <c r="G40" s="7"/>
      <c r="H40" s="7"/>
      <c r="I40" s="7"/>
      <c r="J40" s="7"/>
      <c r="K40" s="58">
        <f>((E25*E24)+(E26*E24*E27))/E28</f>
        <v>0.26429400000000003</v>
      </c>
      <c r="L40" s="51" t="s">
        <v>13</v>
      </c>
    </row>
    <row r="41" spans="1:14" ht="15.75" x14ac:dyDescent="0.25">
      <c r="A41" s="46" t="s">
        <v>12</v>
      </c>
      <c r="B41" s="206" t="s">
        <v>153</v>
      </c>
      <c r="C41" s="206"/>
      <c r="D41" s="206"/>
      <c r="E41" s="70">
        <v>3.0000000000000001E-6</v>
      </c>
      <c r="F41" s="193" t="s">
        <v>10</v>
      </c>
      <c r="G41" s="193"/>
      <c r="H41" s="193"/>
      <c r="I41" s="7"/>
      <c r="J41" s="7"/>
      <c r="K41" s="58">
        <f>(E41*E12)-(K40)</f>
        <v>1.32891114</v>
      </c>
      <c r="L41" s="51" t="s">
        <v>13</v>
      </c>
    </row>
    <row r="42" spans="1:14" ht="15.75" x14ac:dyDescent="0.25">
      <c r="A42" s="207"/>
      <c r="B42" s="207"/>
      <c r="C42" s="207"/>
      <c r="D42" s="207"/>
      <c r="E42" s="207"/>
      <c r="F42" s="7"/>
      <c r="G42" s="7"/>
      <c r="H42" s="7"/>
      <c r="I42" s="7"/>
      <c r="J42" s="7"/>
      <c r="K42" s="58">
        <f>SUM(K38:K41)</f>
        <v>4.8202820630769221</v>
      </c>
      <c r="L42" s="51" t="s">
        <v>13</v>
      </c>
    </row>
    <row r="43" spans="1:14" ht="21" customHeight="1" x14ac:dyDescent="0.25">
      <c r="A43" s="200" t="s">
        <v>144</v>
      </c>
      <c r="B43" s="200"/>
      <c r="C43" s="200"/>
      <c r="D43" s="200"/>
      <c r="E43" s="200"/>
      <c r="F43" s="200"/>
      <c r="G43" s="200"/>
      <c r="H43" s="200"/>
      <c r="I43" s="200"/>
      <c r="J43" s="200"/>
      <c r="K43" s="68">
        <f>K42*O14</f>
        <v>0</v>
      </c>
      <c r="L43" s="52" t="s">
        <v>16</v>
      </c>
    </row>
    <row r="45" spans="1:14" ht="18.75" x14ac:dyDescent="0.3">
      <c r="A45" s="190" t="s">
        <v>145</v>
      </c>
      <c r="B45" s="190"/>
      <c r="C45" s="190"/>
      <c r="D45" s="190"/>
      <c r="E45" s="190"/>
      <c r="F45" s="190"/>
      <c r="G45" s="190"/>
      <c r="H45" s="190"/>
      <c r="I45" s="190"/>
      <c r="J45" s="190"/>
      <c r="K45" s="65">
        <f>K42*O16*1.1514</f>
        <v>7692.4008556535009</v>
      </c>
      <c r="L45" s="53" t="s">
        <v>16</v>
      </c>
    </row>
    <row r="46" spans="1:14" ht="15.75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</row>
    <row r="47" spans="1:14" ht="18.75" x14ac:dyDescent="0.3">
      <c r="A47" s="190" t="s">
        <v>146</v>
      </c>
      <c r="B47" s="190"/>
      <c r="C47" s="190"/>
      <c r="D47" s="190"/>
      <c r="E47" s="190"/>
      <c r="F47" s="190"/>
      <c r="G47" s="190"/>
      <c r="H47" s="190"/>
      <c r="I47" s="190"/>
      <c r="J47" s="190"/>
      <c r="K47" s="65">
        <f>K43+K45</f>
        <v>7692.4008556535009</v>
      </c>
      <c r="L47" s="54" t="s">
        <v>16</v>
      </c>
    </row>
    <row r="49" spans="1:12" ht="15.75" x14ac:dyDescent="0.25">
      <c r="A49" s="197" t="s">
        <v>21</v>
      </c>
      <c r="B49" s="204"/>
      <c r="C49" s="204"/>
      <c r="D49" s="204"/>
      <c r="E49" s="204"/>
      <c r="F49" s="7"/>
      <c r="G49" s="7"/>
      <c r="H49" s="7"/>
      <c r="I49" s="7"/>
      <c r="J49" s="7"/>
      <c r="K49" s="7"/>
      <c r="L49" s="7"/>
    </row>
    <row r="50" spans="1:12" ht="15.75" x14ac:dyDescent="0.25">
      <c r="A50" s="3"/>
      <c r="B50" s="45"/>
      <c r="C50" s="45"/>
      <c r="D50" s="45"/>
      <c r="E50" s="45"/>
      <c r="F50" s="7"/>
      <c r="G50" s="7"/>
      <c r="H50" s="205" t="s">
        <v>25</v>
      </c>
      <c r="I50" s="205"/>
      <c r="J50" s="7"/>
      <c r="K50" s="7"/>
      <c r="L50" s="7"/>
    </row>
    <row r="51" spans="1:12" ht="15.75" x14ac:dyDescent="0.25">
      <c r="A51" s="7" t="s">
        <v>22</v>
      </c>
      <c r="B51" s="7"/>
      <c r="C51" s="193" t="s">
        <v>24</v>
      </c>
      <c r="D51" s="193"/>
      <c r="E51" s="193"/>
      <c r="F51" s="193"/>
      <c r="G51" s="7"/>
      <c r="H51" s="195"/>
      <c r="I51" s="195"/>
      <c r="J51" s="58"/>
      <c r="K51" s="59">
        <f>IF(L51="LINEAR",'DEPRECIAÇÃO LINEAR'!H23,(VLOOKUP(E15,'DEPRECIAÇÃO LINEAR'!W12:AM25,17,0)))</f>
        <v>3983.0128500000005</v>
      </c>
      <c r="L51" s="55" t="s">
        <v>130</v>
      </c>
    </row>
    <row r="52" spans="1:12" ht="15.75" x14ac:dyDescent="0.25">
      <c r="A52" s="7" t="s">
        <v>26</v>
      </c>
      <c r="B52" s="7"/>
      <c r="C52" s="193" t="s">
        <v>27</v>
      </c>
      <c r="D52" s="193"/>
      <c r="E52" s="193"/>
      <c r="F52" s="193"/>
      <c r="G52" s="7"/>
      <c r="H52" s="7"/>
      <c r="I52" s="7"/>
      <c r="J52" s="58"/>
      <c r="K52" s="58"/>
      <c r="L52" s="7"/>
    </row>
    <row r="53" spans="1:12" ht="15.75" x14ac:dyDescent="0.25">
      <c r="A53" s="7"/>
      <c r="B53" s="7" t="s">
        <v>31</v>
      </c>
      <c r="C53" s="193" t="s">
        <v>28</v>
      </c>
      <c r="D53" s="193"/>
      <c r="E53" s="193"/>
      <c r="F53" s="193"/>
      <c r="G53" s="7"/>
      <c r="H53" s="7"/>
      <c r="I53" s="7"/>
      <c r="J53" s="58"/>
      <c r="K53" s="58">
        <f>'Motorista de Veiculo Pesado'!E90</f>
        <v>8468.4608078400015</v>
      </c>
      <c r="L53" s="7"/>
    </row>
    <row r="54" spans="1:12" ht="15.75" x14ac:dyDescent="0.25">
      <c r="A54" s="7"/>
      <c r="B54" s="7" t="s">
        <v>32</v>
      </c>
      <c r="C54" s="193" t="s">
        <v>29</v>
      </c>
      <c r="D54" s="193"/>
      <c r="E54" s="193"/>
      <c r="F54" s="193"/>
      <c r="G54" s="7"/>
      <c r="H54" s="7"/>
      <c r="I54" s="7"/>
      <c r="J54" s="58"/>
      <c r="K54" s="58">
        <f>'Monitor de Transporte Escolar'!E90</f>
        <v>4485.726463695999</v>
      </c>
      <c r="L54" s="7"/>
    </row>
    <row r="55" spans="1:12" ht="15.75" x14ac:dyDescent="0.25">
      <c r="A55" s="7" t="s">
        <v>30</v>
      </c>
      <c r="B55" s="7"/>
      <c r="C55" s="193" t="s">
        <v>34</v>
      </c>
      <c r="D55" s="193"/>
      <c r="E55" s="193"/>
      <c r="F55" s="193"/>
      <c r="G55" s="7"/>
      <c r="H55" s="7"/>
      <c r="I55" s="7"/>
      <c r="J55" s="58"/>
      <c r="K55" s="58"/>
      <c r="L55" s="56"/>
    </row>
    <row r="56" spans="1:12" ht="15.75" x14ac:dyDescent="0.25">
      <c r="A56" s="7"/>
      <c r="B56" s="7" t="s">
        <v>33</v>
      </c>
      <c r="C56" s="7" t="s">
        <v>35</v>
      </c>
      <c r="D56" s="7"/>
      <c r="E56" s="7"/>
      <c r="F56" s="7"/>
      <c r="G56" s="7"/>
      <c r="H56" s="7"/>
      <c r="I56" s="7"/>
      <c r="J56" s="58">
        <f>1/100*E12</f>
        <v>5310.6837999999998</v>
      </c>
      <c r="K56" s="58">
        <f>J56/12</f>
        <v>442.55698333333333</v>
      </c>
      <c r="L56" s="7"/>
    </row>
    <row r="57" spans="1:12" ht="15.75" x14ac:dyDescent="0.25">
      <c r="A57" s="7"/>
      <c r="B57" s="7" t="s">
        <v>36</v>
      </c>
      <c r="C57" s="7" t="s">
        <v>37</v>
      </c>
      <c r="D57" s="7"/>
      <c r="E57" s="7"/>
      <c r="F57" s="7"/>
      <c r="G57" s="7"/>
      <c r="H57" s="7"/>
      <c r="I57" s="7"/>
      <c r="J57" s="58">
        <v>230.25</v>
      </c>
      <c r="K57" s="58">
        <f>J57/12</f>
        <v>19.1875</v>
      </c>
      <c r="L57" s="7"/>
    </row>
    <row r="58" spans="1:12" ht="15.75" x14ac:dyDescent="0.25">
      <c r="A58" s="7"/>
      <c r="B58" s="7" t="s">
        <v>38</v>
      </c>
      <c r="C58" s="193" t="s">
        <v>39</v>
      </c>
      <c r="D58" s="193"/>
      <c r="E58" s="193"/>
      <c r="F58" s="193"/>
      <c r="G58" s="7"/>
      <c r="H58" s="7"/>
      <c r="I58" s="7"/>
      <c r="J58" s="58">
        <v>161.80000000000001</v>
      </c>
      <c r="K58" s="58">
        <f>J58/12</f>
        <v>13.483333333333334</v>
      </c>
      <c r="L58" s="7"/>
    </row>
    <row r="59" spans="1:12" ht="15.75" x14ac:dyDescent="0.25">
      <c r="A59" s="7" t="s">
        <v>41</v>
      </c>
      <c r="B59" s="7"/>
      <c r="C59" s="7" t="s">
        <v>40</v>
      </c>
      <c r="D59" s="7"/>
      <c r="E59" s="7"/>
      <c r="F59" s="7"/>
      <c r="G59" s="7"/>
      <c r="H59" s="7"/>
      <c r="I59" s="7"/>
      <c r="J59" s="58">
        <v>0</v>
      </c>
      <c r="K59" s="58">
        <f>J59/12</f>
        <v>0</v>
      </c>
      <c r="L59" s="7"/>
    </row>
    <row r="60" spans="1:12" ht="15.75" x14ac:dyDescent="0.25">
      <c r="A60" s="7" t="s">
        <v>57</v>
      </c>
      <c r="B60" s="7"/>
      <c r="C60" s="193" t="s">
        <v>58</v>
      </c>
      <c r="D60" s="193"/>
      <c r="E60" s="193"/>
      <c r="F60" s="193"/>
      <c r="G60" s="193"/>
      <c r="H60" s="7"/>
      <c r="I60" s="7"/>
      <c r="J60" s="58">
        <f>Insumos!$B$8</f>
        <v>350.88</v>
      </c>
      <c r="K60" s="58">
        <f>4*J60</f>
        <v>1403.52</v>
      </c>
      <c r="L60" s="7"/>
    </row>
    <row r="61" spans="1:12" ht="15.75" x14ac:dyDescent="0.25">
      <c r="A61" s="7" t="s">
        <v>60</v>
      </c>
      <c r="B61" s="7"/>
      <c r="C61" s="45" t="s">
        <v>63</v>
      </c>
      <c r="D61" s="45"/>
      <c r="E61" s="45"/>
      <c r="F61" s="45"/>
      <c r="G61" s="45"/>
      <c r="H61" s="7"/>
      <c r="I61" s="7"/>
      <c r="J61" s="58">
        <f>Insumos!$B$9</f>
        <v>2680.95</v>
      </c>
      <c r="K61" s="58">
        <f>J61/12</f>
        <v>223.41249999999999</v>
      </c>
      <c r="L61" s="7"/>
    </row>
    <row r="62" spans="1:12" ht="15.75" x14ac:dyDescent="0.25">
      <c r="A62" s="7" t="s">
        <v>61</v>
      </c>
      <c r="B62" s="7"/>
      <c r="C62" s="193" t="s">
        <v>62</v>
      </c>
      <c r="D62" s="193"/>
      <c r="E62" s="193"/>
      <c r="F62" s="45"/>
      <c r="G62" s="45"/>
      <c r="H62" s="7"/>
      <c r="I62" s="7"/>
      <c r="J62" s="60">
        <f>Insumos!$B$10</f>
        <v>932.23</v>
      </c>
      <c r="K62" s="58">
        <f>J62/12</f>
        <v>77.685833333333335</v>
      </c>
      <c r="L62" s="7"/>
    </row>
    <row r="63" spans="1:12" ht="15.75" x14ac:dyDescent="0.25">
      <c r="A63" s="7" t="s">
        <v>142</v>
      </c>
      <c r="B63" s="7"/>
      <c r="C63" s="203" t="s">
        <v>143</v>
      </c>
      <c r="D63" s="203"/>
      <c r="E63" s="203"/>
      <c r="F63" s="203"/>
      <c r="G63" s="164"/>
      <c r="H63" s="7"/>
      <c r="I63" s="7"/>
      <c r="J63" s="60">
        <f>Insumos!$B$11</f>
        <v>471.82</v>
      </c>
      <c r="K63" s="72">
        <f>J63/24</f>
        <v>19.659166666666668</v>
      </c>
      <c r="L63" s="7"/>
    </row>
    <row r="64" spans="1:12" ht="15.75" x14ac:dyDescent="0.25">
      <c r="A64" s="7" t="s">
        <v>340</v>
      </c>
      <c r="B64" s="7"/>
      <c r="C64" s="165" t="s">
        <v>343</v>
      </c>
      <c r="D64" s="165"/>
      <c r="E64" s="165"/>
      <c r="F64" s="165"/>
      <c r="G64" s="164"/>
      <c r="H64" s="7"/>
      <c r="I64" s="7"/>
      <c r="J64" s="60">
        <f>Insumos!$B$12</f>
        <v>14.372399999999997</v>
      </c>
      <c r="K64" s="72">
        <f>J64/60</f>
        <v>0.23953999999999995</v>
      </c>
      <c r="L64" s="7"/>
    </row>
    <row r="65" spans="1:13" ht="20.25" customHeight="1" x14ac:dyDescent="0.25">
      <c r="A65" s="259" t="s">
        <v>43</v>
      </c>
      <c r="B65" s="260"/>
      <c r="C65" s="260"/>
      <c r="D65" s="260"/>
      <c r="E65" s="260"/>
      <c r="F65" s="260"/>
      <c r="G65" s="260"/>
      <c r="H65" s="260"/>
      <c r="I65" s="260"/>
      <c r="J65" s="261"/>
      <c r="K65" s="67">
        <f>SUM(K51:K64)</f>
        <v>19136.944978202664</v>
      </c>
      <c r="L65" s="57" t="s">
        <v>16</v>
      </c>
      <c r="M65" s="4"/>
    </row>
    <row r="67" spans="1:13" ht="19.5" customHeight="1" x14ac:dyDescent="0.3">
      <c r="A67" s="262" t="s">
        <v>132</v>
      </c>
      <c r="B67" s="263"/>
      <c r="C67" s="263"/>
      <c r="D67" s="263"/>
      <c r="E67" s="263"/>
      <c r="F67" s="263"/>
      <c r="G67" s="263"/>
      <c r="H67" s="263"/>
      <c r="I67" s="264"/>
      <c r="K67" s="66">
        <f>K47+K65</f>
        <v>26829.345833856165</v>
      </c>
    </row>
    <row r="69" spans="1:13" ht="15.75" x14ac:dyDescent="0.25">
      <c r="A69" s="254" t="s">
        <v>133</v>
      </c>
      <c r="B69" s="255"/>
      <c r="C69" s="255"/>
      <c r="D69" s="255"/>
      <c r="E69" s="256"/>
      <c r="I69" s="265" t="s">
        <v>55</v>
      </c>
      <c r="J69" s="266"/>
    </row>
    <row r="70" spans="1:13" ht="15.75" x14ac:dyDescent="0.25">
      <c r="A70" s="7" t="s">
        <v>341</v>
      </c>
      <c r="B70" s="7"/>
      <c r="C70" s="193" t="s">
        <v>54</v>
      </c>
      <c r="D70" s="193"/>
      <c r="E70" s="193"/>
      <c r="F70" s="193"/>
      <c r="G70" s="7"/>
      <c r="H70" s="7"/>
      <c r="I70" s="168">
        <f>Insumos!$B$15</f>
        <v>2.6599999999999999E-2</v>
      </c>
      <c r="J70" s="7"/>
      <c r="K70" s="58">
        <f>I70*K67</f>
        <v>713.66059918057397</v>
      </c>
      <c r="L70" s="7"/>
    </row>
    <row r="71" spans="1:13" ht="15.75" x14ac:dyDescent="0.25">
      <c r="A71" s="7" t="s">
        <v>342</v>
      </c>
      <c r="B71" s="7"/>
      <c r="C71" s="193" t="s">
        <v>59</v>
      </c>
      <c r="D71" s="193"/>
      <c r="E71" s="193"/>
      <c r="F71" s="193"/>
      <c r="G71" s="7"/>
      <c r="H71" s="7"/>
      <c r="I71" s="169">
        <f>Insumos!$B$16</f>
        <v>0.04</v>
      </c>
      <c r="J71" s="7"/>
      <c r="K71" s="58">
        <f>I71*(K67+K70)</f>
        <v>1101.7202573214695</v>
      </c>
      <c r="L71" s="7"/>
    </row>
    <row r="72" spans="1:13" ht="18.75" x14ac:dyDescent="0.3">
      <c r="A72" s="7"/>
      <c r="B72" s="7"/>
      <c r="C72" s="7"/>
      <c r="D72" s="7"/>
      <c r="E72" s="7"/>
      <c r="F72" s="7"/>
      <c r="G72" s="7"/>
      <c r="H72" s="7"/>
      <c r="I72" s="7"/>
      <c r="J72" s="61" t="s">
        <v>131</v>
      </c>
      <c r="K72" s="65">
        <f>SUM(K70:K71)</f>
        <v>1815.3808565020436</v>
      </c>
      <c r="L72" s="54" t="s">
        <v>16</v>
      </c>
    </row>
    <row r="74" spans="1:13" ht="15.75" x14ac:dyDescent="0.25">
      <c r="A74" s="254" t="s">
        <v>134</v>
      </c>
      <c r="B74" s="255"/>
      <c r="C74" s="255"/>
      <c r="D74" s="255"/>
      <c r="E74" s="256"/>
      <c r="F74" s="7"/>
      <c r="G74" s="7"/>
      <c r="H74" s="7"/>
      <c r="I74" s="7"/>
      <c r="J74" s="7"/>
      <c r="K74" s="7"/>
      <c r="L74" s="7"/>
    </row>
    <row r="75" spans="1:13" ht="15.75" x14ac:dyDescent="0.25">
      <c r="A75" s="193" t="s">
        <v>42</v>
      </c>
      <c r="B75" s="193"/>
      <c r="C75" s="193"/>
      <c r="D75" s="193"/>
      <c r="E75" s="193"/>
      <c r="F75" s="193"/>
      <c r="G75" s="7"/>
      <c r="H75" s="7"/>
      <c r="I75" s="219" t="s">
        <v>47</v>
      </c>
      <c r="J75" s="220"/>
      <c r="K75" s="51">
        <f>K67+K72</f>
        <v>28644.726690358209</v>
      </c>
      <c r="L75" s="7"/>
    </row>
    <row r="76" spans="1:13" ht="15.75" x14ac:dyDescent="0.25">
      <c r="A76" s="7" t="s">
        <v>53</v>
      </c>
      <c r="C76" s="7" t="s">
        <v>44</v>
      </c>
      <c r="D76" s="7"/>
      <c r="E76" s="7"/>
      <c r="F76" s="7"/>
      <c r="G76" s="7"/>
      <c r="H76" s="7"/>
      <c r="I76" s="257">
        <f>Insumos!$B$18</f>
        <v>0.05</v>
      </c>
      <c r="J76" s="258"/>
      <c r="K76" s="51">
        <f>$K$75/(1-(SUM($I$76:$J$78)))*I76</f>
        <v>1567.8558670146804</v>
      </c>
      <c r="L76" s="7"/>
    </row>
    <row r="77" spans="1:13" ht="15.75" x14ac:dyDescent="0.25">
      <c r="A77" s="7" t="s">
        <v>344</v>
      </c>
      <c r="C77" s="7" t="s">
        <v>45</v>
      </c>
      <c r="D77" s="7"/>
      <c r="E77" s="7"/>
      <c r="F77" s="7"/>
      <c r="G77" s="7"/>
      <c r="H77" s="7"/>
      <c r="I77" s="257">
        <f>Insumos!$B$19</f>
        <v>6.4999999999999997E-3</v>
      </c>
      <c r="J77" s="258"/>
      <c r="K77" s="51">
        <f>$K$75/(1-(SUM($I$76:$J$78)))*I77</f>
        <v>203.82126271190845</v>
      </c>
      <c r="L77" s="7"/>
    </row>
    <row r="78" spans="1:13" ht="15.75" x14ac:dyDescent="0.25">
      <c r="A78" s="7" t="s">
        <v>345</v>
      </c>
      <c r="C78" s="7" t="s">
        <v>46</v>
      </c>
      <c r="D78" s="7"/>
      <c r="E78" s="7"/>
      <c r="F78" s="7"/>
      <c r="G78" s="7"/>
      <c r="H78" s="7"/>
      <c r="I78" s="257">
        <f>Insumos!$B$20</f>
        <v>0.03</v>
      </c>
      <c r="J78" s="258"/>
      <c r="K78" s="51">
        <f>$K$75/(1-(SUM($I$76:$J$78)))*I78</f>
        <v>940.71352020880818</v>
      </c>
      <c r="L78" s="7"/>
    </row>
    <row r="79" spans="1:13" ht="21" customHeight="1" x14ac:dyDescent="0.3">
      <c r="A79" s="251" t="s">
        <v>48</v>
      </c>
      <c r="B79" s="252"/>
      <c r="C79" s="252"/>
      <c r="D79" s="252"/>
      <c r="E79" s="252"/>
      <c r="F79" s="252"/>
      <c r="G79" s="252"/>
      <c r="H79" s="252"/>
      <c r="I79" s="252"/>
      <c r="J79" s="253"/>
      <c r="K79" s="64">
        <f>SUM(K76:K78)</f>
        <v>2712.3906499353971</v>
      </c>
      <c r="L79" s="54" t="s">
        <v>16</v>
      </c>
    </row>
    <row r="81" spans="1:20" x14ac:dyDescent="0.25">
      <c r="C81" s="5"/>
      <c r="D81" s="5"/>
      <c r="E81" s="5"/>
      <c r="F81" s="5"/>
      <c r="K81" s="2"/>
    </row>
    <row r="82" spans="1:20" ht="15.75" x14ac:dyDescent="0.25">
      <c r="A82" s="191" t="s">
        <v>56</v>
      </c>
      <c r="B82" s="191"/>
      <c r="C82" s="191"/>
      <c r="D82" s="191"/>
      <c r="E82" s="191"/>
      <c r="F82" s="191"/>
      <c r="G82" s="191"/>
      <c r="H82" s="191"/>
      <c r="I82" s="191"/>
      <c r="T82" s="43"/>
    </row>
    <row r="83" spans="1:20" ht="15.75" x14ac:dyDescent="0.25">
      <c r="A83" s="6"/>
      <c r="B83" s="6"/>
      <c r="C83" s="6"/>
      <c r="D83" s="6"/>
      <c r="E83" s="6"/>
      <c r="F83" s="6"/>
      <c r="G83" s="6"/>
      <c r="H83" s="6"/>
      <c r="I83" s="6"/>
    </row>
    <row r="84" spans="1:20" ht="15.75" x14ac:dyDescent="0.25">
      <c r="A84" s="191" t="s">
        <v>51</v>
      </c>
      <c r="B84" s="192"/>
      <c r="C84" s="192"/>
      <c r="D84" s="192"/>
      <c r="E84" s="192"/>
      <c r="F84" s="192"/>
      <c r="G84" s="192"/>
      <c r="H84" s="192"/>
    </row>
    <row r="85" spans="1:20" ht="20.25" customHeight="1" x14ac:dyDescent="0.3">
      <c r="A85" s="193" t="s">
        <v>135</v>
      </c>
      <c r="B85" s="193"/>
      <c r="C85" s="193"/>
      <c r="D85" s="193"/>
      <c r="E85" s="193"/>
      <c r="F85" s="193"/>
      <c r="G85" s="193"/>
      <c r="H85" s="193"/>
      <c r="I85" s="193"/>
      <c r="J85" s="193"/>
      <c r="K85" s="62">
        <f>K67+K72+K79</f>
        <v>31357.117340293607</v>
      </c>
    </row>
    <row r="86" spans="1:20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2"/>
    </row>
    <row r="87" spans="1:20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2"/>
      <c r="P87" s="42"/>
    </row>
    <row r="88" spans="1:20" ht="8.25" customHeight="1" x14ac:dyDescent="0.25"/>
    <row r="89" spans="1:20" ht="16.5" customHeight="1" x14ac:dyDescent="0.25">
      <c r="A89" s="194" t="s">
        <v>49</v>
      </c>
      <c r="B89" s="195"/>
      <c r="C89" s="195"/>
      <c r="D89" s="195"/>
      <c r="E89" s="195"/>
      <c r="F89" s="195"/>
      <c r="G89" s="195"/>
      <c r="H89" s="195"/>
      <c r="I89" s="195"/>
      <c r="J89" s="195"/>
      <c r="K89" s="7"/>
      <c r="L89" s="7"/>
    </row>
    <row r="90" spans="1:20" ht="24.75" customHeight="1" x14ac:dyDescent="0.3">
      <c r="A90" s="196" t="s">
        <v>141</v>
      </c>
      <c r="B90" s="196"/>
      <c r="C90" s="196"/>
      <c r="D90" s="196"/>
      <c r="E90" s="196"/>
      <c r="F90" s="196"/>
      <c r="G90" s="196"/>
      <c r="H90" s="196"/>
      <c r="I90" s="196"/>
      <c r="J90" s="196"/>
      <c r="K90" s="71">
        <f>K85/O18</f>
        <v>22.624182785204624</v>
      </c>
      <c r="L90" s="63" t="s">
        <v>50</v>
      </c>
    </row>
    <row r="94" spans="1:20" s="10" customFormat="1" x14ac:dyDescent="0.25"/>
    <row r="95" spans="1:20" s="11" customFormat="1" ht="18.75" x14ac:dyDescent="0.3">
      <c r="B95" s="12" t="s">
        <v>69</v>
      </c>
      <c r="D95" s="188" t="s">
        <v>65</v>
      </c>
      <c r="E95" s="188"/>
      <c r="L95" s="12" t="s">
        <v>69</v>
      </c>
      <c r="M95" s="12"/>
      <c r="N95" s="12" t="s">
        <v>75</v>
      </c>
      <c r="O95" s="12"/>
    </row>
    <row r="96" spans="1:20" s="11" customFormat="1" x14ac:dyDescent="0.25"/>
    <row r="97" spans="2:18" s="11" customFormat="1" x14ac:dyDescent="0.25">
      <c r="B97" s="184" t="s">
        <v>66</v>
      </c>
      <c r="C97" s="184"/>
      <c r="D97" s="13"/>
      <c r="E97" s="13"/>
      <c r="F97" s="189">
        <v>288912</v>
      </c>
      <c r="G97" s="189"/>
      <c r="L97" s="13" t="s">
        <v>66</v>
      </c>
      <c r="M97" s="13"/>
      <c r="N97" s="13"/>
      <c r="O97" s="13"/>
      <c r="P97" s="13"/>
      <c r="Q97" s="30">
        <v>271500</v>
      </c>
    </row>
    <row r="98" spans="2:18" s="11" customFormat="1" x14ac:dyDescent="0.25">
      <c r="B98" s="13" t="s">
        <v>67</v>
      </c>
      <c r="D98" s="13"/>
      <c r="E98" s="13"/>
      <c r="F98" s="185">
        <v>10</v>
      </c>
      <c r="G98" s="185"/>
      <c r="H98" s="11" t="s">
        <v>154</v>
      </c>
      <c r="L98" s="13" t="s">
        <v>67</v>
      </c>
      <c r="M98" s="13"/>
      <c r="N98" s="13"/>
      <c r="O98" s="13"/>
      <c r="P98" s="13"/>
      <c r="Q98" s="13">
        <v>10</v>
      </c>
      <c r="R98" s="11" t="s">
        <v>154</v>
      </c>
    </row>
    <row r="99" spans="2:18" s="11" customFormat="1" x14ac:dyDescent="0.25">
      <c r="B99" s="13" t="s">
        <v>81</v>
      </c>
      <c r="D99" s="13"/>
      <c r="E99" s="13"/>
      <c r="F99" s="14"/>
      <c r="G99" s="14">
        <v>2018</v>
      </c>
      <c r="L99" s="13" t="s">
        <v>81</v>
      </c>
      <c r="N99" s="13"/>
      <c r="O99" s="13"/>
      <c r="P99" s="14"/>
      <c r="Q99" s="14">
        <v>2018</v>
      </c>
    </row>
    <row r="100" spans="2:18" s="11" customFormat="1" x14ac:dyDescent="0.25">
      <c r="B100" s="184" t="s">
        <v>68</v>
      </c>
      <c r="C100" s="184"/>
      <c r="D100" s="184"/>
      <c r="F100" s="185">
        <v>6</v>
      </c>
      <c r="G100" s="185"/>
      <c r="L100" s="13" t="s">
        <v>76</v>
      </c>
      <c r="M100" s="13"/>
      <c r="N100" s="13"/>
      <c r="O100" s="13"/>
      <c r="P100" s="13"/>
      <c r="Q100" s="13">
        <v>6</v>
      </c>
    </row>
    <row r="101" spans="2:18" s="11" customFormat="1" x14ac:dyDescent="0.25">
      <c r="B101" s="184" t="s">
        <v>71</v>
      </c>
      <c r="C101" s="184"/>
      <c r="D101" s="184"/>
      <c r="F101" s="14"/>
      <c r="G101" s="17">
        <v>100000</v>
      </c>
      <c r="L101" s="13" t="s">
        <v>71</v>
      </c>
      <c r="M101" s="13"/>
      <c r="N101" s="13"/>
      <c r="O101" s="13"/>
      <c r="P101" s="13"/>
      <c r="Q101" s="19">
        <v>100000</v>
      </c>
    </row>
    <row r="102" spans="2:18" s="11" customFormat="1" x14ac:dyDescent="0.25">
      <c r="B102" s="184" t="s">
        <v>72</v>
      </c>
      <c r="C102" s="184"/>
      <c r="D102" s="184"/>
      <c r="F102" s="14"/>
      <c r="G102" s="20">
        <v>1533.77</v>
      </c>
      <c r="L102" s="13" t="s">
        <v>72</v>
      </c>
      <c r="M102" s="13"/>
      <c r="N102" s="13"/>
      <c r="O102" s="13"/>
      <c r="P102" s="13"/>
      <c r="Q102" s="69">
        <v>860.69</v>
      </c>
    </row>
    <row r="103" spans="2:18" s="11" customFormat="1" x14ac:dyDescent="0.25">
      <c r="B103" s="184" t="s">
        <v>73</v>
      </c>
      <c r="C103" s="184"/>
      <c r="D103" s="15"/>
      <c r="F103" s="14"/>
      <c r="G103" s="14">
        <v>2.6</v>
      </c>
      <c r="H103" s="13" t="s">
        <v>74</v>
      </c>
      <c r="L103" s="13" t="s">
        <v>73</v>
      </c>
      <c r="M103" s="13"/>
      <c r="N103" s="13"/>
      <c r="O103" s="13"/>
      <c r="P103" s="13"/>
      <c r="Q103" s="13">
        <v>4.7</v>
      </c>
    </row>
    <row r="104" spans="2:18" s="11" customFormat="1" x14ac:dyDescent="0.25">
      <c r="B104" s="184" t="s">
        <v>70</v>
      </c>
      <c r="C104" s="184"/>
      <c r="D104" s="184"/>
      <c r="F104" s="185" t="s">
        <v>125</v>
      </c>
      <c r="G104" s="185"/>
      <c r="L104" s="13" t="s">
        <v>70</v>
      </c>
      <c r="M104" s="13"/>
      <c r="N104" s="13"/>
      <c r="O104" s="13"/>
      <c r="P104" s="13"/>
      <c r="Q104" s="13" t="s">
        <v>124</v>
      </c>
    </row>
    <row r="105" spans="2:18" s="11" customFormat="1" x14ac:dyDescent="0.25"/>
    <row r="106" spans="2:18" s="11" customFormat="1" x14ac:dyDescent="0.25"/>
    <row r="107" spans="2:18" s="11" customFormat="1" ht="18.75" x14ac:dyDescent="0.3">
      <c r="B107" s="12" t="s">
        <v>69</v>
      </c>
      <c r="C107" s="12"/>
      <c r="D107" s="12" t="s">
        <v>77</v>
      </c>
      <c r="E107" s="13"/>
      <c r="F107" s="13"/>
      <c r="G107" s="13"/>
      <c r="H107" s="13"/>
      <c r="L107" s="12" t="s">
        <v>69</v>
      </c>
      <c r="M107" s="16"/>
      <c r="N107" s="16"/>
      <c r="O107" s="12" t="s">
        <v>78</v>
      </c>
    </row>
    <row r="108" spans="2:18" s="11" customFormat="1" x14ac:dyDescent="0.25">
      <c r="B108" s="13"/>
      <c r="C108" s="13"/>
      <c r="D108" s="13"/>
      <c r="E108" s="13"/>
      <c r="F108" s="13"/>
      <c r="G108" s="13"/>
      <c r="H108" s="13"/>
    </row>
    <row r="109" spans="2:18" s="11" customFormat="1" x14ac:dyDescent="0.25">
      <c r="B109" s="184" t="s">
        <v>66</v>
      </c>
      <c r="C109" s="184"/>
      <c r="D109" s="13"/>
      <c r="E109" s="13"/>
      <c r="F109" s="185">
        <v>400</v>
      </c>
      <c r="G109" s="185"/>
      <c r="H109" s="13"/>
      <c r="L109" s="184" t="s">
        <v>66</v>
      </c>
      <c r="M109" s="184"/>
      <c r="N109" s="13"/>
      <c r="O109" s="13"/>
      <c r="P109" s="185" t="s">
        <v>78</v>
      </c>
      <c r="Q109" s="185"/>
      <c r="R109" s="13"/>
    </row>
    <row r="110" spans="2:18" s="11" customFormat="1" x14ac:dyDescent="0.25">
      <c r="B110" s="13" t="s">
        <v>67</v>
      </c>
      <c r="C110" s="13"/>
      <c r="D110" s="13"/>
      <c r="E110" s="13"/>
      <c r="F110" s="185">
        <v>10</v>
      </c>
      <c r="G110" s="185"/>
      <c r="H110" s="13" t="s">
        <v>154</v>
      </c>
      <c r="L110" s="13" t="s">
        <v>67</v>
      </c>
      <c r="M110" s="13"/>
      <c r="N110" s="13"/>
      <c r="O110" s="13"/>
      <c r="P110" s="185">
        <v>8</v>
      </c>
      <c r="Q110" s="185"/>
      <c r="R110" s="13" t="s">
        <v>154</v>
      </c>
    </row>
    <row r="111" spans="2:18" s="11" customFormat="1" x14ac:dyDescent="0.25">
      <c r="B111" s="13" t="s">
        <v>81</v>
      </c>
      <c r="D111" s="13"/>
      <c r="E111" s="13"/>
      <c r="F111" s="14"/>
      <c r="G111" s="14" t="s">
        <v>82</v>
      </c>
      <c r="L111" s="13" t="s">
        <v>81</v>
      </c>
      <c r="N111" s="13"/>
      <c r="O111" s="13"/>
      <c r="P111" s="14"/>
      <c r="Q111" s="14" t="s">
        <v>83</v>
      </c>
      <c r="R111" s="13"/>
    </row>
    <row r="112" spans="2:18" s="11" customFormat="1" x14ac:dyDescent="0.25">
      <c r="B112" s="184" t="s">
        <v>68</v>
      </c>
      <c r="C112" s="184"/>
      <c r="D112" s="184"/>
      <c r="E112" s="13"/>
      <c r="F112" s="185" t="s">
        <v>87</v>
      </c>
      <c r="G112" s="185"/>
      <c r="H112" s="13"/>
      <c r="L112" s="184" t="s">
        <v>68</v>
      </c>
      <c r="M112" s="184"/>
      <c r="N112" s="184"/>
      <c r="O112" s="13"/>
      <c r="P112" s="185" t="s">
        <v>88</v>
      </c>
      <c r="Q112" s="185"/>
      <c r="R112" s="13"/>
    </row>
    <row r="113" spans="2:21" s="11" customFormat="1" x14ac:dyDescent="0.25">
      <c r="B113" s="184" t="s">
        <v>71</v>
      </c>
      <c r="C113" s="184"/>
      <c r="D113" s="184"/>
      <c r="E113" s="13"/>
      <c r="F113" s="14"/>
      <c r="G113" s="14" t="s">
        <v>89</v>
      </c>
      <c r="H113" s="13"/>
      <c r="L113" s="184" t="s">
        <v>71</v>
      </c>
      <c r="M113" s="184"/>
      <c r="N113" s="184"/>
      <c r="O113" s="13"/>
      <c r="P113" s="14"/>
      <c r="Q113" s="14" t="s">
        <v>90</v>
      </c>
      <c r="R113" s="13"/>
    </row>
    <row r="114" spans="2:21" s="11" customFormat="1" x14ac:dyDescent="0.25">
      <c r="B114" s="184" t="s">
        <v>72</v>
      </c>
      <c r="C114" s="184"/>
      <c r="D114" s="184"/>
      <c r="E114" s="13"/>
      <c r="F114" s="14"/>
      <c r="G114" s="14">
        <v>400</v>
      </c>
      <c r="H114" s="13"/>
      <c r="L114" s="184" t="s">
        <v>72</v>
      </c>
      <c r="M114" s="184"/>
      <c r="N114" s="184"/>
      <c r="O114" s="13"/>
      <c r="P114" s="14"/>
      <c r="Q114" s="14">
        <v>4444</v>
      </c>
      <c r="R114" s="13"/>
    </row>
    <row r="115" spans="2:21" s="11" customFormat="1" x14ac:dyDescent="0.25">
      <c r="B115" s="184" t="s">
        <v>73</v>
      </c>
      <c r="C115" s="184"/>
      <c r="D115" s="15"/>
      <c r="E115" s="13"/>
      <c r="F115" s="14"/>
      <c r="G115" s="14">
        <v>2</v>
      </c>
      <c r="H115" s="13" t="s">
        <v>74</v>
      </c>
      <c r="L115" s="184" t="s">
        <v>73</v>
      </c>
      <c r="M115" s="184"/>
      <c r="N115" s="15"/>
      <c r="O115" s="13"/>
      <c r="P115" s="14"/>
      <c r="Q115" s="14">
        <v>4</v>
      </c>
      <c r="R115" s="13" t="s">
        <v>74</v>
      </c>
    </row>
    <row r="116" spans="2:21" s="11" customFormat="1" x14ac:dyDescent="0.25">
      <c r="B116" s="184" t="s">
        <v>70</v>
      </c>
      <c r="C116" s="184"/>
      <c r="D116" s="184"/>
      <c r="E116" s="13"/>
      <c r="F116" s="185" t="s">
        <v>85</v>
      </c>
      <c r="G116" s="185"/>
      <c r="H116" s="13"/>
      <c r="L116" s="184" t="s">
        <v>70</v>
      </c>
      <c r="M116" s="184"/>
      <c r="N116" s="184"/>
      <c r="O116" s="13"/>
      <c r="P116" s="185" t="s">
        <v>86</v>
      </c>
      <c r="Q116" s="185"/>
      <c r="R116" s="13"/>
    </row>
    <row r="117" spans="2:21" s="11" customFormat="1" x14ac:dyDescent="0.25"/>
    <row r="118" spans="2:21" s="11" customFormat="1" x14ac:dyDescent="0.25"/>
    <row r="119" spans="2:21" s="11" customFormat="1" ht="18.75" x14ac:dyDescent="0.3">
      <c r="Q119" s="12" t="s">
        <v>65</v>
      </c>
      <c r="R119" s="12"/>
      <c r="T119" s="13" t="s">
        <v>130</v>
      </c>
      <c r="U119" s="13"/>
    </row>
    <row r="120" spans="2:21" s="11" customFormat="1" ht="18.75" x14ac:dyDescent="0.3">
      <c r="Q120" s="12" t="s">
        <v>75</v>
      </c>
      <c r="T120" s="13" t="s">
        <v>129</v>
      </c>
      <c r="U120" s="13"/>
    </row>
    <row r="121" spans="2:21" s="11" customFormat="1" ht="18.75" x14ac:dyDescent="0.3">
      <c r="Q121" s="12" t="s">
        <v>77</v>
      </c>
    </row>
    <row r="122" spans="2:21" s="11" customFormat="1" ht="18" customHeight="1" x14ac:dyDescent="0.3">
      <c r="B122" s="186" t="s">
        <v>172</v>
      </c>
      <c r="C122" s="186"/>
      <c r="Q122" s="12" t="s">
        <v>78</v>
      </c>
    </row>
    <row r="123" spans="2:21" ht="0.75" hidden="1" customHeight="1" x14ac:dyDescent="0.25">
      <c r="B123" s="186"/>
      <c r="C123" s="186"/>
    </row>
    <row r="124" spans="2:21" hidden="1" x14ac:dyDescent="0.25">
      <c r="B124" s="186"/>
      <c r="C124" s="186"/>
    </row>
    <row r="125" spans="2:21" x14ac:dyDescent="0.25">
      <c r="B125" s="186"/>
      <c r="C125" s="186"/>
    </row>
    <row r="126" spans="2:21" ht="24.75" x14ac:dyDescent="0.25">
      <c r="B126" s="94" t="s">
        <v>173</v>
      </c>
      <c r="C126" s="9" t="s">
        <v>174</v>
      </c>
      <c r="D126" s="9"/>
      <c r="E126" s="9"/>
      <c r="F126" s="9" t="s">
        <v>175</v>
      </c>
      <c r="G126" s="9"/>
      <c r="H126" s="9"/>
      <c r="I126" s="9" t="s">
        <v>176</v>
      </c>
      <c r="J126" s="9"/>
      <c r="K126" s="9"/>
      <c r="L126" s="9" t="s">
        <v>177</v>
      </c>
      <c r="M126" s="9"/>
      <c r="N126" s="9"/>
    </row>
    <row r="127" spans="2:21" x14ac:dyDescent="0.25">
      <c r="B127" s="5">
        <v>40</v>
      </c>
      <c r="C127" s="2">
        <f>$K$42*(B127*21)</f>
        <v>4049.0369329846144</v>
      </c>
      <c r="F127" s="2">
        <f>(C127+$K$65)*0.05</f>
        <v>1159.2990955593639</v>
      </c>
      <c r="I127" s="2">
        <f>(C127+$K$65+F127)*6%</f>
        <v>1460.7168604047984</v>
      </c>
      <c r="L127" s="31">
        <f>(C127+$K$65+F127+I127)*14.25%</f>
        <v>3677.3546960690801</v>
      </c>
      <c r="M127" s="9"/>
      <c r="N127" s="9"/>
    </row>
    <row r="128" spans="2:21" x14ac:dyDescent="0.25">
      <c r="B128" s="5">
        <v>50</v>
      </c>
      <c r="C128" s="2">
        <f t="shared" ref="C128:C139" si="0">$K$42*(B128*21)</f>
        <v>5061.296166230768</v>
      </c>
      <c r="F128" s="2">
        <f t="shared" ref="F128:F139" si="1">(C128+$K$65)*0.05</f>
        <v>1209.9120572216716</v>
      </c>
      <c r="I128" s="2">
        <f t="shared" ref="I128:I139" si="2">(C128+$K$65+F128)*6%</f>
        <v>1524.4891920993061</v>
      </c>
      <c r="L128" s="31">
        <f t="shared" ref="L128:L139" si="3">(C128+$K$65+F128+I128)*14.25%</f>
        <v>3837.9015411100031</v>
      </c>
      <c r="M128" s="9"/>
      <c r="N128" s="9"/>
    </row>
    <row r="129" spans="2:14" x14ac:dyDescent="0.25">
      <c r="B129" s="5">
        <v>60</v>
      </c>
      <c r="C129" s="2">
        <f t="shared" si="0"/>
        <v>6073.5553994769216</v>
      </c>
      <c r="F129" s="2">
        <f t="shared" si="1"/>
        <v>1260.5250188839793</v>
      </c>
      <c r="I129" s="2">
        <f t="shared" si="2"/>
        <v>1588.2615237938137</v>
      </c>
      <c r="L129" s="31">
        <f t="shared" si="3"/>
        <v>3998.4483861509261</v>
      </c>
      <c r="M129" s="9"/>
      <c r="N129" s="9"/>
    </row>
    <row r="130" spans="2:14" x14ac:dyDescent="0.25">
      <c r="B130" s="5">
        <v>70</v>
      </c>
      <c r="C130" s="2">
        <f t="shared" si="0"/>
        <v>7085.8146327230752</v>
      </c>
      <c r="F130" s="2">
        <f t="shared" si="1"/>
        <v>1311.1379805462871</v>
      </c>
      <c r="I130" s="2">
        <f t="shared" si="2"/>
        <v>1652.0338554883215</v>
      </c>
      <c r="L130" s="31">
        <f t="shared" si="3"/>
        <v>4158.9952311918487</v>
      </c>
      <c r="M130" s="9"/>
      <c r="N130" s="9"/>
    </row>
    <row r="131" spans="2:14" x14ac:dyDescent="0.25">
      <c r="B131" s="5">
        <v>80</v>
      </c>
      <c r="C131" s="2">
        <f t="shared" si="0"/>
        <v>8098.0738659692288</v>
      </c>
      <c r="F131" s="2">
        <f t="shared" si="1"/>
        <v>1361.7509422085948</v>
      </c>
      <c r="I131" s="2">
        <f t="shared" si="2"/>
        <v>1715.806187182829</v>
      </c>
      <c r="L131" s="31">
        <f t="shared" si="3"/>
        <v>4319.5420762327722</v>
      </c>
      <c r="M131" s="9"/>
      <c r="N131" s="9"/>
    </row>
    <row r="132" spans="2:14" x14ac:dyDescent="0.25">
      <c r="B132" s="5">
        <v>90</v>
      </c>
      <c r="C132" s="2">
        <f t="shared" si="0"/>
        <v>9110.3330992153824</v>
      </c>
      <c r="F132" s="2">
        <f t="shared" si="1"/>
        <v>1412.3639038709025</v>
      </c>
      <c r="I132" s="2">
        <f t="shared" si="2"/>
        <v>1779.578518877337</v>
      </c>
      <c r="L132" s="31">
        <f t="shared" si="3"/>
        <v>4480.0889212736956</v>
      </c>
      <c r="M132" s="9"/>
      <c r="N132" s="9"/>
    </row>
    <row r="133" spans="2:14" x14ac:dyDescent="0.25">
      <c r="B133" s="5">
        <v>100</v>
      </c>
      <c r="C133" s="2">
        <f t="shared" si="0"/>
        <v>10122.592332461536</v>
      </c>
      <c r="F133" s="2">
        <f t="shared" si="1"/>
        <v>1462.97686553321</v>
      </c>
      <c r="I133" s="2">
        <f t="shared" si="2"/>
        <v>1843.3508505718444</v>
      </c>
      <c r="L133" s="31">
        <f t="shared" si="3"/>
        <v>4640.6357663146182</v>
      </c>
      <c r="M133" s="9"/>
      <c r="N133" s="9"/>
    </row>
    <row r="134" spans="2:14" x14ac:dyDescent="0.25">
      <c r="B134" s="5">
        <v>110</v>
      </c>
      <c r="C134" s="2">
        <f t="shared" si="0"/>
        <v>11134.85156570769</v>
      </c>
      <c r="F134" s="2">
        <f t="shared" si="1"/>
        <v>1513.5898271955177</v>
      </c>
      <c r="I134" s="2">
        <f t="shared" si="2"/>
        <v>1907.1231822663524</v>
      </c>
      <c r="L134" s="31">
        <f t="shared" si="3"/>
        <v>4801.1826113555417</v>
      </c>
      <c r="M134" s="9"/>
      <c r="N134" s="9"/>
    </row>
    <row r="135" spans="2:14" x14ac:dyDescent="0.25">
      <c r="B135" s="5">
        <v>120</v>
      </c>
      <c r="C135" s="2">
        <f t="shared" si="0"/>
        <v>12147.110798953843</v>
      </c>
      <c r="F135" s="2">
        <f t="shared" si="1"/>
        <v>1564.2027888578255</v>
      </c>
      <c r="I135" s="2">
        <f t="shared" si="2"/>
        <v>1970.8955139608597</v>
      </c>
      <c r="L135" s="31">
        <f t="shared" si="3"/>
        <v>4961.7294563964642</v>
      </c>
      <c r="M135" s="9"/>
      <c r="N135" s="9"/>
    </row>
    <row r="136" spans="2:14" x14ac:dyDescent="0.25">
      <c r="B136" s="5">
        <v>130</v>
      </c>
      <c r="C136" s="2">
        <f t="shared" si="0"/>
        <v>13159.370032199997</v>
      </c>
      <c r="F136" s="2">
        <f t="shared" si="1"/>
        <v>1614.8157505201332</v>
      </c>
      <c r="I136" s="2">
        <f t="shared" si="2"/>
        <v>2034.6678456553677</v>
      </c>
      <c r="L136" s="31">
        <f t="shared" si="3"/>
        <v>5122.2763014373886</v>
      </c>
      <c r="M136" s="9"/>
      <c r="N136" s="9"/>
    </row>
    <row r="137" spans="2:14" x14ac:dyDescent="0.25">
      <c r="B137" s="5">
        <v>140</v>
      </c>
      <c r="C137" s="2">
        <f t="shared" si="0"/>
        <v>14171.62926544615</v>
      </c>
      <c r="F137" s="2">
        <f t="shared" si="1"/>
        <v>1665.4287121824409</v>
      </c>
      <c r="I137" s="2">
        <f t="shared" si="2"/>
        <v>2098.4401773498753</v>
      </c>
      <c r="L137" s="31">
        <f t="shared" si="3"/>
        <v>5282.8231464783103</v>
      </c>
      <c r="M137" s="9"/>
      <c r="N137" s="9"/>
    </row>
    <row r="138" spans="2:14" x14ac:dyDescent="0.25">
      <c r="B138" s="5">
        <v>150</v>
      </c>
      <c r="C138" s="2">
        <f t="shared" si="0"/>
        <v>15183.888498692304</v>
      </c>
      <c r="F138" s="2">
        <f t="shared" si="1"/>
        <v>1716.0416738447486</v>
      </c>
      <c r="I138" s="2">
        <f t="shared" si="2"/>
        <v>2162.2125090443828</v>
      </c>
      <c r="L138" s="31">
        <f t="shared" si="3"/>
        <v>5443.3699915192337</v>
      </c>
      <c r="M138" s="9"/>
      <c r="N138" s="9"/>
    </row>
    <row r="139" spans="2:14" x14ac:dyDescent="0.25">
      <c r="B139" s="5">
        <v>160</v>
      </c>
      <c r="C139" s="2">
        <f t="shared" si="0"/>
        <v>16196.147731938458</v>
      </c>
      <c r="F139" s="2">
        <f t="shared" si="1"/>
        <v>1766.6546355070561</v>
      </c>
      <c r="I139" s="2">
        <f t="shared" si="2"/>
        <v>2225.9848407388904</v>
      </c>
      <c r="L139" s="31">
        <f t="shared" si="3"/>
        <v>5603.9168365601563</v>
      </c>
      <c r="M139" s="9"/>
      <c r="N139" s="9"/>
    </row>
    <row r="140" spans="2:14" x14ac:dyDescent="0.25">
      <c r="B140" s="5"/>
    </row>
    <row r="143" spans="2:14" x14ac:dyDescent="0.25">
      <c r="B143" s="187" t="s">
        <v>178</v>
      </c>
      <c r="C143" s="187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</row>
    <row r="144" spans="2:14" x14ac:dyDescent="0.25">
      <c r="B144" s="187"/>
      <c r="C144" s="187"/>
    </row>
    <row r="145" spans="2:14" x14ac:dyDescent="0.25">
      <c r="B145" s="187"/>
      <c r="C145" s="187"/>
    </row>
    <row r="146" spans="2:14" x14ac:dyDescent="0.25">
      <c r="B146" s="187"/>
      <c r="C146" s="187"/>
    </row>
    <row r="147" spans="2:14" ht="24.75" x14ac:dyDescent="0.25">
      <c r="B147" s="94" t="s">
        <v>173</v>
      </c>
      <c r="C147" s="9" t="s">
        <v>174</v>
      </c>
      <c r="D147" s="9"/>
      <c r="E147" s="9"/>
      <c r="F147" s="9" t="s">
        <v>175</v>
      </c>
      <c r="G147" s="9"/>
      <c r="H147" s="9"/>
      <c r="I147" s="9" t="s">
        <v>176</v>
      </c>
      <c r="J147" s="9"/>
      <c r="K147" s="9"/>
      <c r="L147" s="9" t="s">
        <v>177</v>
      </c>
      <c r="M147" s="9"/>
      <c r="N147" s="9"/>
    </row>
    <row r="148" spans="2:14" x14ac:dyDescent="0.25">
      <c r="B148" s="5">
        <v>40</v>
      </c>
      <c r="C148" s="2">
        <f>($K$42*(B148*21))*1.154</f>
        <v>4672.5886206642444</v>
      </c>
      <c r="F148" s="2">
        <f>(C148+$K$65)*0.05</f>
        <v>1190.4766799433455</v>
      </c>
      <c r="I148" s="2">
        <f>(C148+$K$65+F148)*6%</f>
        <v>1500.0006167286153</v>
      </c>
      <c r="L148" s="31">
        <f>(C148+$K$65+F148+I148)*14.25%</f>
        <v>3776.2515526142888</v>
      </c>
      <c r="M148" s="9"/>
      <c r="N148" s="9"/>
    </row>
    <row r="149" spans="2:14" x14ac:dyDescent="0.25">
      <c r="B149" s="5">
        <v>50</v>
      </c>
      <c r="C149" s="2">
        <f t="shared" ref="C149:C160" si="4">($K$42*(B149*21))*1.154</f>
        <v>5840.735775830306</v>
      </c>
      <c r="F149" s="2">
        <f t="shared" ref="F149:F160" si="5">(C149+$K$65)*0.05</f>
        <v>1248.8840377016486</v>
      </c>
      <c r="I149" s="2">
        <f t="shared" ref="I149:I160" si="6">(C149+$K$65+F149)*6%</f>
        <v>1573.593887504077</v>
      </c>
      <c r="L149" s="31">
        <f t="shared" ref="L149:L160" si="7">(C149+$K$65+F149+I149)*14.25%</f>
        <v>3961.5226117915136</v>
      </c>
      <c r="M149" s="9"/>
      <c r="N149" s="9"/>
    </row>
    <row r="150" spans="2:14" x14ac:dyDescent="0.25">
      <c r="B150" s="5">
        <v>60</v>
      </c>
      <c r="C150" s="2">
        <f t="shared" si="4"/>
        <v>7008.8829309963667</v>
      </c>
      <c r="F150" s="2">
        <f t="shared" si="5"/>
        <v>1307.2913954599517</v>
      </c>
      <c r="I150" s="2">
        <f t="shared" si="6"/>
        <v>1647.1871582795388</v>
      </c>
      <c r="L150" s="31">
        <f t="shared" si="7"/>
        <v>4146.7936709687392</v>
      </c>
      <c r="M150" s="9"/>
      <c r="N150" s="9"/>
    </row>
    <row r="151" spans="2:14" x14ac:dyDescent="0.25">
      <c r="B151" s="5">
        <v>70</v>
      </c>
      <c r="C151" s="2">
        <f t="shared" si="4"/>
        <v>8177.0300861624282</v>
      </c>
      <c r="F151" s="2">
        <f t="shared" si="5"/>
        <v>1365.6987532182548</v>
      </c>
      <c r="I151" s="2">
        <f t="shared" si="6"/>
        <v>1720.7804290550007</v>
      </c>
      <c r="L151" s="31">
        <f t="shared" si="7"/>
        <v>4332.0647301459639</v>
      </c>
      <c r="M151" s="9"/>
      <c r="N151" s="9"/>
    </row>
    <row r="152" spans="2:14" x14ac:dyDescent="0.25">
      <c r="B152" s="5">
        <v>80</v>
      </c>
      <c r="C152" s="2">
        <f t="shared" si="4"/>
        <v>9345.1772413284889</v>
      </c>
      <c r="F152" s="2">
        <f t="shared" si="5"/>
        <v>1424.1061109765578</v>
      </c>
      <c r="I152" s="2">
        <f t="shared" si="6"/>
        <v>1794.3736998304626</v>
      </c>
      <c r="L152" s="31">
        <f t="shared" si="7"/>
        <v>4517.3357893231896</v>
      </c>
      <c r="M152" s="9"/>
      <c r="N152" s="9"/>
    </row>
    <row r="153" spans="2:14" x14ac:dyDescent="0.25">
      <c r="B153" s="5">
        <v>90</v>
      </c>
      <c r="C153" s="2">
        <f t="shared" si="4"/>
        <v>10513.32439649455</v>
      </c>
      <c r="F153" s="2">
        <f t="shared" si="5"/>
        <v>1482.5134687348609</v>
      </c>
      <c r="I153" s="2">
        <f t="shared" si="6"/>
        <v>1867.9669706059244</v>
      </c>
      <c r="L153" s="31">
        <f t="shared" si="7"/>
        <v>4702.6068485004143</v>
      </c>
      <c r="M153" s="9"/>
      <c r="N153" s="9"/>
    </row>
    <row r="154" spans="2:14" x14ac:dyDescent="0.25">
      <c r="B154" s="5">
        <v>100</v>
      </c>
      <c r="C154" s="2">
        <f t="shared" si="4"/>
        <v>11681.471551660612</v>
      </c>
      <c r="F154" s="2">
        <f t="shared" si="5"/>
        <v>1540.920826493164</v>
      </c>
      <c r="I154" s="2">
        <f t="shared" si="6"/>
        <v>1941.5602413813863</v>
      </c>
      <c r="L154" s="31">
        <f t="shared" si="7"/>
        <v>4887.8779076776391</v>
      </c>
      <c r="M154" s="9"/>
      <c r="N154" s="9"/>
    </row>
    <row r="155" spans="2:14" x14ac:dyDescent="0.25">
      <c r="B155" s="5">
        <v>110</v>
      </c>
      <c r="C155" s="2">
        <f t="shared" si="4"/>
        <v>12849.618706826674</v>
      </c>
      <c r="F155" s="2">
        <f t="shared" si="5"/>
        <v>1599.3281842514671</v>
      </c>
      <c r="I155" s="2">
        <f t="shared" si="6"/>
        <v>2015.1535121568484</v>
      </c>
      <c r="L155" s="31">
        <f t="shared" si="7"/>
        <v>5073.1489668548647</v>
      </c>
      <c r="M155" s="9"/>
      <c r="N155" s="9"/>
    </row>
    <row r="156" spans="2:14" x14ac:dyDescent="0.25">
      <c r="B156" s="5">
        <v>120</v>
      </c>
      <c r="C156" s="2">
        <f t="shared" si="4"/>
        <v>14017.765861992733</v>
      </c>
      <c r="F156" s="2">
        <f t="shared" si="5"/>
        <v>1657.7355420097699</v>
      </c>
      <c r="I156" s="2">
        <f t="shared" si="6"/>
        <v>2088.7467829323095</v>
      </c>
      <c r="L156" s="31">
        <f t="shared" si="7"/>
        <v>5258.4200260320886</v>
      </c>
      <c r="M156" s="9"/>
      <c r="N156" s="9"/>
    </row>
    <row r="157" spans="2:14" x14ac:dyDescent="0.25">
      <c r="B157" s="5">
        <v>130</v>
      </c>
      <c r="C157" s="2">
        <f t="shared" si="4"/>
        <v>15185.913017158795</v>
      </c>
      <c r="F157" s="2">
        <f t="shared" si="5"/>
        <v>1716.1428997680732</v>
      </c>
      <c r="I157" s="2">
        <f t="shared" si="6"/>
        <v>2162.3400537077719</v>
      </c>
      <c r="L157" s="31">
        <f t="shared" si="7"/>
        <v>5443.6910852093151</v>
      </c>
      <c r="M157" s="9"/>
      <c r="N157" s="9"/>
    </row>
    <row r="158" spans="2:14" x14ac:dyDescent="0.25">
      <c r="B158" s="5">
        <v>140</v>
      </c>
      <c r="C158" s="2">
        <f t="shared" si="4"/>
        <v>16354.060172324856</v>
      </c>
      <c r="F158" s="2">
        <f t="shared" si="5"/>
        <v>1774.5502575263761</v>
      </c>
      <c r="I158" s="2">
        <f t="shared" si="6"/>
        <v>2235.9333244832337</v>
      </c>
      <c r="L158" s="31">
        <f t="shared" si="7"/>
        <v>5628.9621443865399</v>
      </c>
      <c r="M158" s="9"/>
      <c r="N158" s="9"/>
    </row>
    <row r="159" spans="2:14" x14ac:dyDescent="0.25">
      <c r="B159" s="5">
        <v>150</v>
      </c>
      <c r="C159" s="2">
        <f t="shared" si="4"/>
        <v>17522.207327490916</v>
      </c>
      <c r="F159" s="2">
        <f t="shared" si="5"/>
        <v>1832.9576152846794</v>
      </c>
      <c r="I159" s="2">
        <f t="shared" si="6"/>
        <v>2309.5265952586956</v>
      </c>
      <c r="L159" s="31">
        <f t="shared" si="7"/>
        <v>5814.2332035637655</v>
      </c>
      <c r="M159" s="9"/>
      <c r="N159" s="9"/>
    </row>
    <row r="160" spans="2:14" x14ac:dyDescent="0.25">
      <c r="B160" s="5">
        <v>160</v>
      </c>
      <c r="C160" s="2">
        <f t="shared" si="4"/>
        <v>18690.354482656978</v>
      </c>
      <c r="F160" s="2">
        <f t="shared" si="5"/>
        <v>1891.3649730429822</v>
      </c>
      <c r="I160" s="2">
        <f t="shared" si="6"/>
        <v>2383.1198660341574</v>
      </c>
      <c r="L160" s="31">
        <f t="shared" si="7"/>
        <v>5999.5042627409903</v>
      </c>
      <c r="M160" s="9"/>
      <c r="N160" s="9"/>
    </row>
  </sheetData>
  <mergeCells count="121">
    <mergeCell ref="B116:D116"/>
    <mergeCell ref="F116:G116"/>
    <mergeCell ref="L116:N116"/>
    <mergeCell ref="P116:Q116"/>
    <mergeCell ref="B122:C125"/>
    <mergeCell ref="B143:C146"/>
    <mergeCell ref="B113:D113"/>
    <mergeCell ref="L113:N113"/>
    <mergeCell ref="B114:D114"/>
    <mergeCell ref="L114:N114"/>
    <mergeCell ref="B115:C115"/>
    <mergeCell ref="L115:M115"/>
    <mergeCell ref="L109:M109"/>
    <mergeCell ref="P109:Q109"/>
    <mergeCell ref="F110:G110"/>
    <mergeCell ref="P110:Q110"/>
    <mergeCell ref="B112:D112"/>
    <mergeCell ref="F112:G112"/>
    <mergeCell ref="L112:N112"/>
    <mergeCell ref="P112:Q112"/>
    <mergeCell ref="B101:D101"/>
    <mergeCell ref="B102:D102"/>
    <mergeCell ref="B103:C103"/>
    <mergeCell ref="B104:D104"/>
    <mergeCell ref="F104:G104"/>
    <mergeCell ref="B109:C109"/>
    <mergeCell ref="F109:G109"/>
    <mergeCell ref="D95:E95"/>
    <mergeCell ref="B97:C97"/>
    <mergeCell ref="F97:G97"/>
    <mergeCell ref="F98:G98"/>
    <mergeCell ref="B100:D100"/>
    <mergeCell ref="F100:G100"/>
    <mergeCell ref="A79:J79"/>
    <mergeCell ref="A82:I82"/>
    <mergeCell ref="A84:H84"/>
    <mergeCell ref="A85:J85"/>
    <mergeCell ref="A89:J89"/>
    <mergeCell ref="A90:J90"/>
    <mergeCell ref="A74:E74"/>
    <mergeCell ref="A75:F75"/>
    <mergeCell ref="I75:J75"/>
    <mergeCell ref="I76:J76"/>
    <mergeCell ref="I77:J77"/>
    <mergeCell ref="I78:J78"/>
    <mergeCell ref="A65:J65"/>
    <mergeCell ref="A67:I67"/>
    <mergeCell ref="A69:E69"/>
    <mergeCell ref="I69:J69"/>
    <mergeCell ref="C70:F70"/>
    <mergeCell ref="C71:F71"/>
    <mergeCell ref="C54:F54"/>
    <mergeCell ref="C55:F55"/>
    <mergeCell ref="C58:F58"/>
    <mergeCell ref="C60:G60"/>
    <mergeCell ref="C62:E62"/>
    <mergeCell ref="C63:F63"/>
    <mergeCell ref="A49:E49"/>
    <mergeCell ref="H50:I50"/>
    <mergeCell ref="C51:F51"/>
    <mergeCell ref="H51:I51"/>
    <mergeCell ref="C52:F52"/>
    <mergeCell ref="C53:F53"/>
    <mergeCell ref="B41:D41"/>
    <mergeCell ref="F41:H41"/>
    <mergeCell ref="A42:E42"/>
    <mergeCell ref="A43:J43"/>
    <mergeCell ref="A45:J45"/>
    <mergeCell ref="A47:J47"/>
    <mergeCell ref="A36:E36"/>
    <mergeCell ref="B37:D37"/>
    <mergeCell ref="E37:F37"/>
    <mergeCell ref="B38:D38"/>
    <mergeCell ref="B39:D39"/>
    <mergeCell ref="B40:D40"/>
    <mergeCell ref="A28:D28"/>
    <mergeCell ref="E28:F28"/>
    <mergeCell ref="A31:F31"/>
    <mergeCell ref="A32:D32"/>
    <mergeCell ref="E32:F32"/>
    <mergeCell ref="A33:D33"/>
    <mergeCell ref="A25:D25"/>
    <mergeCell ref="E25:F25"/>
    <mergeCell ref="A26:D26"/>
    <mergeCell ref="E26:F26"/>
    <mergeCell ref="A27:D27"/>
    <mergeCell ref="E27:F27"/>
    <mergeCell ref="K18:N18"/>
    <mergeCell ref="A19:F19"/>
    <mergeCell ref="A20:F20"/>
    <mergeCell ref="A23:F23"/>
    <mergeCell ref="A24:D24"/>
    <mergeCell ref="E24:F24"/>
    <mergeCell ref="A16:D16"/>
    <mergeCell ref="E16:F16"/>
    <mergeCell ref="K16:N17"/>
    <mergeCell ref="H21:N22"/>
    <mergeCell ref="O16:O17"/>
    <mergeCell ref="P16:P17"/>
    <mergeCell ref="T17:V17"/>
    <mergeCell ref="A14:D14"/>
    <mergeCell ref="E14:F14"/>
    <mergeCell ref="K14:N15"/>
    <mergeCell ref="O14:O15"/>
    <mergeCell ref="P14:P15"/>
    <mergeCell ref="E15:F15"/>
    <mergeCell ref="A11:F11"/>
    <mergeCell ref="K11:N11"/>
    <mergeCell ref="A12:C12"/>
    <mergeCell ref="E12:F12"/>
    <mergeCell ref="K12:N12"/>
    <mergeCell ref="A13:D13"/>
    <mergeCell ref="E13:F13"/>
    <mergeCell ref="K13:N13"/>
    <mergeCell ref="C2:F6"/>
    <mergeCell ref="H3:P5"/>
    <mergeCell ref="F7:H7"/>
    <mergeCell ref="K7:N7"/>
    <mergeCell ref="B8:C8"/>
    <mergeCell ref="I9:P9"/>
    <mergeCell ref="A9:F9"/>
  </mergeCells>
  <conditionalFormatting sqref="P19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{3B039E57-D2C2-4E15-BBBF-86C1D83029C0}</x14:id>
        </ext>
      </extLst>
    </cfRule>
  </conditionalFormatting>
  <dataValidations disablePrompts="1" count="3">
    <dataValidation type="list" allowBlank="1" showInputMessage="1" showErrorMessage="1" sqref="F7:H7 T17:V17">
      <formula1>$Q$119:$Q$122</formula1>
    </dataValidation>
    <dataValidation type="list" allowBlank="1" showInputMessage="1" showErrorMessage="1" sqref="L51">
      <formula1>"LINEAR, MÉTODO COLE"</formula1>
    </dataValidation>
    <dataValidation type="list" allowBlank="1" showInputMessage="1" showErrorMessage="1" sqref="E15:F15">
      <formula1>"0,1,2,3,4,5,6,7,8,9,10,11,12,13,14,15"</formula1>
    </dataValidation>
  </dataValidations>
  <pageMargins left="0.51181102362204722" right="0.51181102362204722" top="0.78740157480314965" bottom="0.78740157480314965" header="0.31496062992125984" footer="0.31496062992125984"/>
  <pageSetup paperSize="9" scale="50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3B039E57-D2C2-4E15-BBBF-86C1D83029C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P19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32">
    <tabColor rgb="FF0070C0"/>
  </sheetPr>
  <dimension ref="A2:V160"/>
  <sheetViews>
    <sheetView tabSelected="1" view="pageBreakPreview" topLeftCell="A45" zoomScale="85" zoomScaleNormal="100" zoomScaleSheetLayoutView="85" workbookViewId="0">
      <selection activeCell="A57" sqref="A57"/>
    </sheetView>
  </sheetViews>
  <sheetFormatPr defaultColWidth="8.85546875" defaultRowHeight="15" x14ac:dyDescent="0.25"/>
  <cols>
    <col min="2" max="2" width="14.140625" customWidth="1"/>
    <col min="3" max="3" width="15.28515625" customWidth="1"/>
    <col min="5" max="5" width="12.42578125" customWidth="1"/>
    <col min="6" max="6" width="13.5703125" customWidth="1"/>
    <col min="7" max="7" width="12.140625" customWidth="1"/>
    <col min="9" max="9" width="10.7109375" customWidth="1"/>
    <col min="10" max="10" width="12.140625" bestFit="1" customWidth="1"/>
    <col min="11" max="11" width="16.42578125" bestFit="1" customWidth="1"/>
    <col min="12" max="12" width="14.42578125" customWidth="1"/>
    <col min="14" max="14" width="6.42578125" customWidth="1"/>
    <col min="15" max="15" width="9" customWidth="1"/>
    <col min="16" max="16" width="10.42578125" customWidth="1"/>
    <col min="17" max="17" width="15.140625" customWidth="1"/>
    <col min="18" max="18" width="14.7109375" bestFit="1" customWidth="1"/>
    <col min="19" max="19" width="19.42578125" bestFit="1" customWidth="1"/>
  </cols>
  <sheetData>
    <row r="2" spans="1:19" x14ac:dyDescent="0.25">
      <c r="C2" s="239" t="s">
        <v>151</v>
      </c>
      <c r="D2" s="240"/>
      <c r="E2" s="240"/>
      <c r="F2" s="240"/>
    </row>
    <row r="3" spans="1:19" x14ac:dyDescent="0.25">
      <c r="C3" s="240"/>
      <c r="D3" s="240"/>
      <c r="E3" s="240"/>
      <c r="F3" s="240"/>
      <c r="H3" s="241" t="s">
        <v>64</v>
      </c>
      <c r="I3" s="239"/>
      <c r="J3" s="239"/>
      <c r="K3" s="239"/>
      <c r="L3" s="239"/>
      <c r="M3" s="239"/>
      <c r="N3" s="239"/>
      <c r="O3" s="239"/>
      <c r="P3" s="239"/>
    </row>
    <row r="4" spans="1:19" x14ac:dyDescent="0.25">
      <c r="C4" s="240"/>
      <c r="D4" s="240"/>
      <c r="E4" s="240"/>
      <c r="F4" s="240"/>
      <c r="H4" s="239"/>
      <c r="I4" s="239"/>
      <c r="J4" s="239"/>
      <c r="K4" s="239"/>
      <c r="L4" s="239"/>
      <c r="M4" s="239"/>
      <c r="N4" s="239"/>
      <c r="O4" s="239"/>
      <c r="P4" s="239"/>
    </row>
    <row r="5" spans="1:19" x14ac:dyDescent="0.25">
      <c r="C5" s="240"/>
      <c r="D5" s="240"/>
      <c r="E5" s="240"/>
      <c r="F5" s="240"/>
      <c r="H5" s="239"/>
      <c r="I5" s="239"/>
      <c r="J5" s="239"/>
      <c r="K5" s="239"/>
      <c r="L5" s="239"/>
      <c r="M5" s="239"/>
      <c r="N5" s="239"/>
      <c r="O5" s="239"/>
      <c r="P5" s="239"/>
    </row>
    <row r="6" spans="1:19" x14ac:dyDescent="0.25">
      <c r="C6" s="240"/>
      <c r="D6" s="240"/>
      <c r="E6" s="240"/>
      <c r="F6" s="240"/>
    </row>
    <row r="7" spans="1:19" ht="21" x14ac:dyDescent="0.35">
      <c r="E7" s="18" t="s">
        <v>80</v>
      </c>
      <c r="F7" s="235" t="s">
        <v>65</v>
      </c>
      <c r="G7" s="235"/>
      <c r="H7" s="235"/>
      <c r="K7" s="242" t="s">
        <v>286</v>
      </c>
      <c r="L7" s="243"/>
      <c r="M7" s="243"/>
      <c r="N7" s="243"/>
    </row>
    <row r="8" spans="1:19" ht="15.75" x14ac:dyDescent="0.25">
      <c r="B8" s="194"/>
      <c r="C8" s="194"/>
      <c r="D8" s="8"/>
      <c r="E8" s="8"/>
      <c r="F8" s="8"/>
      <c r="J8" s="9"/>
    </row>
    <row r="9" spans="1:19" ht="21" x14ac:dyDescent="0.35">
      <c r="A9" s="235" t="s">
        <v>352</v>
      </c>
      <c r="B9" s="235"/>
      <c r="C9" s="235"/>
      <c r="D9" s="235"/>
      <c r="E9" s="235"/>
      <c r="F9" s="235"/>
      <c r="I9" s="244" t="s">
        <v>157</v>
      </c>
      <c r="J9" s="244"/>
      <c r="K9" s="244"/>
      <c r="L9" s="244"/>
      <c r="M9" s="244"/>
      <c r="N9" s="244"/>
      <c r="O9" s="244"/>
      <c r="P9" s="244"/>
      <c r="R9" s="9" t="s">
        <v>155</v>
      </c>
      <c r="S9" s="9" t="s">
        <v>156</v>
      </c>
    </row>
    <row r="10" spans="1:19" x14ac:dyDescent="0.25">
      <c r="R10" s="2">
        <f>K43</f>
        <v>0</v>
      </c>
      <c r="S10" s="43">
        <f>K45</f>
        <v>7459.2977994215762</v>
      </c>
    </row>
    <row r="11" spans="1:19" ht="17.25" x14ac:dyDescent="0.3">
      <c r="A11" s="236" t="s">
        <v>150</v>
      </c>
      <c r="B11" s="237"/>
      <c r="C11" s="237"/>
      <c r="D11" s="237"/>
      <c r="E11" s="237"/>
      <c r="F11" s="238"/>
      <c r="G11" s="40" t="s">
        <v>0</v>
      </c>
      <c r="K11" s="206" t="s">
        <v>15</v>
      </c>
      <c r="L11" s="206"/>
      <c r="M11" s="206"/>
      <c r="N11" s="206"/>
      <c r="O11" s="161">
        <f>O12+O13</f>
        <v>64</v>
      </c>
      <c r="P11" s="47" t="s">
        <v>14</v>
      </c>
      <c r="R11" s="130">
        <f>K65/O18*O14</f>
        <v>0</v>
      </c>
      <c r="S11" s="130">
        <f>K65/O18*O16</f>
        <v>19136.944978202664</v>
      </c>
    </row>
    <row r="12" spans="1:19" ht="15.75" x14ac:dyDescent="0.25">
      <c r="A12" s="214" t="s">
        <v>107</v>
      </c>
      <c r="B12" s="215"/>
      <c r="C12" s="215"/>
      <c r="D12" s="48"/>
      <c r="E12" s="218">
        <f>Insumos!$B$4</f>
        <v>531068.38</v>
      </c>
      <c r="F12" s="218"/>
      <c r="G12" s="1"/>
      <c r="K12" s="206" t="s">
        <v>136</v>
      </c>
      <c r="L12" s="206"/>
      <c r="M12" s="206"/>
      <c r="N12" s="206"/>
      <c r="O12" s="150">
        <v>0</v>
      </c>
      <c r="P12" s="47" t="s">
        <v>14</v>
      </c>
      <c r="R12" s="2">
        <f>K72/O18*O14</f>
        <v>0</v>
      </c>
      <c r="S12" s="2">
        <f>K72/O18*O16</f>
        <v>1799.6081713051667</v>
      </c>
    </row>
    <row r="13" spans="1:19" ht="15.75" x14ac:dyDescent="0.25">
      <c r="A13" s="214" t="s">
        <v>285</v>
      </c>
      <c r="B13" s="215"/>
      <c r="C13" s="215"/>
      <c r="D13" s="216"/>
      <c r="E13" s="198">
        <f>'DEPRECIAÇÃO LINEAR'!D15</f>
        <v>10</v>
      </c>
      <c r="F13" s="198"/>
      <c r="K13" s="206" t="s">
        <v>137</v>
      </c>
      <c r="L13" s="206"/>
      <c r="M13" s="206"/>
      <c r="N13" s="206"/>
      <c r="O13" s="150">
        <v>64</v>
      </c>
      <c r="P13" s="47" t="s">
        <v>14</v>
      </c>
      <c r="R13" s="2">
        <f>K79/O18*O14</f>
        <v>0</v>
      </c>
      <c r="S13" s="2">
        <f>K79/O18*O16</f>
        <v>2688.8244193567534</v>
      </c>
    </row>
    <row r="14" spans="1:19" ht="15" customHeight="1" x14ac:dyDescent="0.25">
      <c r="A14" s="214" t="s">
        <v>23</v>
      </c>
      <c r="B14" s="215"/>
      <c r="C14" s="215"/>
      <c r="D14" s="216"/>
      <c r="E14" s="219">
        <v>2026</v>
      </c>
      <c r="F14" s="220"/>
      <c r="K14" s="223" t="s">
        <v>138</v>
      </c>
      <c r="L14" s="223"/>
      <c r="M14" s="223"/>
      <c r="N14" s="223"/>
      <c r="O14" s="232">
        <f>O12*21</f>
        <v>0</v>
      </c>
      <c r="P14" s="234" t="s">
        <v>14</v>
      </c>
      <c r="R14" s="2">
        <f>SUM(R10:R13)</f>
        <v>0</v>
      </c>
      <c r="S14" s="2">
        <f>SUM(S10:S13)</f>
        <v>31084.67536828616</v>
      </c>
    </row>
    <row r="15" spans="1:19" ht="15.75" customHeight="1" x14ac:dyDescent="0.25">
      <c r="A15" s="49" t="s">
        <v>79</v>
      </c>
      <c r="B15" s="48"/>
      <c r="C15" s="48"/>
      <c r="D15" s="48"/>
      <c r="E15" s="198">
        <v>0</v>
      </c>
      <c r="F15" s="198"/>
      <c r="G15" s="41" t="s">
        <v>128</v>
      </c>
      <c r="I15" s="28"/>
      <c r="J15" s="28"/>
      <c r="K15" s="223"/>
      <c r="L15" s="223"/>
      <c r="M15" s="223"/>
      <c r="N15" s="223"/>
      <c r="O15" s="233"/>
      <c r="P15" s="234"/>
      <c r="R15" s="31">
        <f>IFERROR(R14/O14,0)</f>
        <v>0</v>
      </c>
      <c r="S15" s="31">
        <f>IFERROR(S14/O16,0)</f>
        <v>23.128478696641487</v>
      </c>
    </row>
    <row r="16" spans="1:19" ht="15" customHeight="1" x14ac:dyDescent="0.25">
      <c r="A16" s="214" t="s">
        <v>84</v>
      </c>
      <c r="B16" s="215"/>
      <c r="C16" s="215"/>
      <c r="D16" s="215"/>
      <c r="E16" s="198" t="str">
        <f>IF($F$7=$D$95,F104,IF($F$7=$D$107,F116,IF($F$7=$N$95,Q104,IF($F$7=$O$107,P116,""))))</f>
        <v>ATÉ 59 ALUNOS</v>
      </c>
      <c r="F16" s="198"/>
      <c r="I16" s="28"/>
      <c r="J16" s="28"/>
      <c r="K16" s="223" t="s">
        <v>139</v>
      </c>
      <c r="L16" s="223"/>
      <c r="M16" s="223"/>
      <c r="N16" s="223"/>
      <c r="O16" s="232">
        <f>O13*21</f>
        <v>1344</v>
      </c>
      <c r="P16" s="234" t="s">
        <v>14</v>
      </c>
    </row>
    <row r="17" spans="1:22" ht="15" customHeight="1" x14ac:dyDescent="0.35">
      <c r="I17" s="28"/>
      <c r="J17" s="28"/>
      <c r="K17" s="223"/>
      <c r="L17" s="223"/>
      <c r="M17" s="223"/>
      <c r="N17" s="223"/>
      <c r="O17" s="233"/>
      <c r="P17" s="234"/>
      <c r="R17" s="2">
        <f>R14+S14</f>
        <v>31084.67536828616</v>
      </c>
      <c r="T17" s="235"/>
      <c r="U17" s="235"/>
      <c r="V17" s="235"/>
    </row>
    <row r="18" spans="1:22" ht="15" customHeight="1" x14ac:dyDescent="0.25">
      <c r="I18" s="28"/>
      <c r="J18" s="28"/>
      <c r="K18" s="223" t="s">
        <v>140</v>
      </c>
      <c r="L18" s="223"/>
      <c r="M18" s="223"/>
      <c r="N18" s="223"/>
      <c r="O18" s="46">
        <f>O16+O14</f>
        <v>1344</v>
      </c>
      <c r="P18" s="47" t="s">
        <v>14</v>
      </c>
      <c r="R18" s="2">
        <f>R17/O18</f>
        <v>23.128478696641487</v>
      </c>
    </row>
    <row r="19" spans="1:22" ht="15.75" customHeight="1" x14ac:dyDescent="0.3">
      <c r="A19" s="224" t="s">
        <v>1</v>
      </c>
      <c r="B19" s="225"/>
      <c r="C19" s="225"/>
      <c r="D19" s="225"/>
      <c r="E19" s="225"/>
      <c r="F19" s="225"/>
      <c r="I19" s="29"/>
      <c r="J19" s="29"/>
      <c r="K19" s="29"/>
      <c r="L19" s="29"/>
      <c r="M19" s="29"/>
    </row>
    <row r="20" spans="1:22" ht="15" customHeight="1" thickBot="1" x14ac:dyDescent="0.3">
      <c r="A20" s="206" t="s">
        <v>106</v>
      </c>
      <c r="B20" s="206"/>
      <c r="C20" s="206"/>
      <c r="D20" s="206"/>
      <c r="E20" s="206"/>
      <c r="F20" s="206"/>
      <c r="I20" s="28"/>
      <c r="J20" s="28"/>
      <c r="K20" s="28"/>
      <c r="L20" s="28"/>
      <c r="M20" s="28"/>
      <c r="O20" s="93">
        <f>K90</f>
        <v>23.128478696641487</v>
      </c>
      <c r="R20" s="93">
        <f>K90</f>
        <v>23.128478696641487</v>
      </c>
    </row>
    <row r="21" spans="1:22" x14ac:dyDescent="0.25">
      <c r="H21" s="267" t="s">
        <v>302</v>
      </c>
      <c r="I21" s="268"/>
      <c r="J21" s="268"/>
      <c r="K21" s="268"/>
      <c r="L21" s="268"/>
      <c r="M21" s="268"/>
      <c r="N21" s="269"/>
      <c r="O21" s="2"/>
    </row>
    <row r="22" spans="1:22" ht="15.75" thickBot="1" x14ac:dyDescent="0.3">
      <c r="H22" s="270"/>
      <c r="I22" s="271"/>
      <c r="J22" s="271"/>
      <c r="K22" s="271"/>
      <c r="L22" s="271"/>
      <c r="M22" s="271"/>
      <c r="N22" s="272"/>
    </row>
    <row r="23" spans="1:22" ht="17.25" x14ac:dyDescent="0.3">
      <c r="A23" s="224" t="s">
        <v>2</v>
      </c>
      <c r="B23" s="225"/>
      <c r="C23" s="225"/>
      <c r="D23" s="225"/>
      <c r="E23" s="225"/>
      <c r="F23" s="225"/>
      <c r="L23" s="2"/>
    </row>
    <row r="24" spans="1:22" ht="15.75" x14ac:dyDescent="0.25">
      <c r="A24" s="214" t="s">
        <v>11</v>
      </c>
      <c r="B24" s="215"/>
      <c r="C24" s="215"/>
      <c r="D24" s="215"/>
      <c r="E24" s="198">
        <f>IF($F$7=$D$95,F100,IF($F$7=$D$107,F112,IF($F$7=$N$95,Q100,IF($F$7=$O$107,P112,""))))</f>
        <v>6</v>
      </c>
      <c r="F24" s="198"/>
    </row>
    <row r="25" spans="1:22" ht="15.75" x14ac:dyDescent="0.25">
      <c r="A25" s="214" t="s">
        <v>9</v>
      </c>
      <c r="B25" s="215"/>
      <c r="C25" s="215"/>
      <c r="D25" s="216"/>
      <c r="E25" s="218">
        <f>Insumos!$B$5</f>
        <v>2453.2399999999998</v>
      </c>
      <c r="F25" s="218"/>
    </row>
    <row r="26" spans="1:22" ht="15.75" x14ac:dyDescent="0.25">
      <c r="A26" s="214" t="s">
        <v>147</v>
      </c>
      <c r="B26" s="215"/>
      <c r="C26" s="215"/>
      <c r="D26" s="216"/>
      <c r="E26" s="219">
        <v>2</v>
      </c>
      <c r="F26" s="220"/>
    </row>
    <row r="27" spans="1:22" ht="15.75" x14ac:dyDescent="0.25">
      <c r="A27" s="214" t="s">
        <v>148</v>
      </c>
      <c r="B27" s="215"/>
      <c r="C27" s="215"/>
      <c r="D27" s="216"/>
      <c r="E27" s="221">
        <f>Insumos!$B$6</f>
        <v>975.83</v>
      </c>
      <c r="F27" s="222"/>
    </row>
    <row r="28" spans="1:22" ht="15.75" x14ac:dyDescent="0.25">
      <c r="A28" s="214" t="s">
        <v>149</v>
      </c>
      <c r="B28" s="215"/>
      <c r="C28" s="215"/>
      <c r="D28" s="216"/>
      <c r="E28" s="217">
        <v>100000</v>
      </c>
      <c r="F28" s="217"/>
    </row>
    <row r="31" spans="1:22" ht="15.75" x14ac:dyDescent="0.25">
      <c r="A31" s="191" t="s">
        <v>3</v>
      </c>
      <c r="B31" s="192"/>
      <c r="C31" s="192"/>
      <c r="D31" s="192"/>
      <c r="E31" s="192"/>
      <c r="F31" s="192"/>
    </row>
    <row r="32" spans="1:22" ht="15.75" x14ac:dyDescent="0.25">
      <c r="A32" s="214" t="s">
        <v>19</v>
      </c>
      <c r="B32" s="215"/>
      <c r="C32" s="215"/>
      <c r="D32" s="216"/>
      <c r="E32" s="218">
        <f>Insumos!$B$7</f>
        <v>7.6</v>
      </c>
      <c r="F32" s="218"/>
    </row>
    <row r="33" spans="1:14" ht="15.75" x14ac:dyDescent="0.25">
      <c r="A33" s="214" t="s">
        <v>17</v>
      </c>
      <c r="B33" s="215"/>
      <c r="C33" s="215"/>
      <c r="D33" s="216"/>
      <c r="E33" s="46">
        <f>IF($F$7=$D$95,G103,IF($F$7=$D$107,G115,IF($F$7=$N$95,Q103,IF($F$7=$O$107,Q115,""))))</f>
        <v>2.6</v>
      </c>
      <c r="F33" s="50" t="s">
        <v>18</v>
      </c>
    </row>
    <row r="36" spans="1:14" ht="17.25" x14ac:dyDescent="0.3">
      <c r="A36" s="208" t="s">
        <v>20</v>
      </c>
      <c r="B36" s="209"/>
      <c r="C36" s="209"/>
      <c r="D36" s="209"/>
      <c r="E36" s="209"/>
    </row>
    <row r="37" spans="1:14" x14ac:dyDescent="0.25">
      <c r="B37" s="210"/>
      <c r="C37" s="210"/>
      <c r="D37" s="211"/>
      <c r="E37" s="212" t="s">
        <v>4</v>
      </c>
      <c r="F37" s="213"/>
    </row>
    <row r="38" spans="1:14" ht="15.75" x14ac:dyDescent="0.25">
      <c r="A38" s="46" t="s">
        <v>346</v>
      </c>
      <c r="B38" s="214" t="s">
        <v>52</v>
      </c>
      <c r="C38" s="215"/>
      <c r="D38" s="216"/>
      <c r="E38" s="46">
        <f>1/E33</f>
        <v>0.38461538461538458</v>
      </c>
      <c r="F38" s="7" t="s">
        <v>5</v>
      </c>
      <c r="G38" s="7"/>
      <c r="H38" s="7"/>
      <c r="I38" s="7"/>
      <c r="J38" s="7"/>
      <c r="K38" s="58">
        <f>E32*E38</f>
        <v>2.9230769230769225</v>
      </c>
      <c r="L38" s="51" t="s">
        <v>13</v>
      </c>
      <c r="N38" s="2"/>
    </row>
    <row r="39" spans="1:14" ht="15.75" x14ac:dyDescent="0.25">
      <c r="A39" s="46" t="s">
        <v>6</v>
      </c>
      <c r="B39" s="206" t="s">
        <v>152</v>
      </c>
      <c r="C39" s="206"/>
      <c r="D39" s="206"/>
      <c r="E39" s="46">
        <v>0.04</v>
      </c>
      <c r="F39" s="7" t="s">
        <v>5</v>
      </c>
      <c r="G39" s="7"/>
      <c r="H39" s="7"/>
      <c r="I39" s="7"/>
      <c r="J39" s="7"/>
      <c r="K39" s="58">
        <f>E39*E32</f>
        <v>0.30399999999999999</v>
      </c>
      <c r="L39" s="51" t="s">
        <v>13</v>
      </c>
    </row>
    <row r="40" spans="1:14" ht="15.75" x14ac:dyDescent="0.25">
      <c r="A40" s="46" t="s">
        <v>7</v>
      </c>
      <c r="B40" s="206" t="s">
        <v>8</v>
      </c>
      <c r="C40" s="206"/>
      <c r="D40" s="206"/>
      <c r="E40" s="46"/>
      <c r="F40" s="7"/>
      <c r="G40" s="7"/>
      <c r="H40" s="7"/>
      <c r="I40" s="7"/>
      <c r="J40" s="7"/>
      <c r="K40" s="58">
        <f>((E25*E24)+(E26*E24*E27))/E28</f>
        <v>0.26429400000000003</v>
      </c>
      <c r="L40" s="51" t="s">
        <v>13</v>
      </c>
    </row>
    <row r="41" spans="1:14" ht="15.75" x14ac:dyDescent="0.25">
      <c r="A41" s="46" t="s">
        <v>12</v>
      </c>
      <c r="B41" s="206" t="s">
        <v>153</v>
      </c>
      <c r="C41" s="206"/>
      <c r="D41" s="206"/>
      <c r="E41" s="70">
        <v>3.0000000000000001E-6</v>
      </c>
      <c r="F41" s="193" t="s">
        <v>10</v>
      </c>
      <c r="G41" s="193"/>
      <c r="H41" s="193"/>
      <c r="I41" s="7"/>
      <c r="J41" s="7"/>
      <c r="K41" s="58">
        <f>(E41*E12)-(K40)</f>
        <v>1.32891114</v>
      </c>
      <c r="L41" s="51" t="s">
        <v>13</v>
      </c>
    </row>
    <row r="42" spans="1:14" ht="15.75" x14ac:dyDescent="0.25">
      <c r="A42" s="207"/>
      <c r="B42" s="207"/>
      <c r="C42" s="207"/>
      <c r="D42" s="207"/>
      <c r="E42" s="207"/>
      <c r="F42" s="7"/>
      <c r="G42" s="7"/>
      <c r="H42" s="7"/>
      <c r="I42" s="7"/>
      <c r="J42" s="7"/>
      <c r="K42" s="58">
        <f>SUM(K38:K41)</f>
        <v>4.8202820630769221</v>
      </c>
      <c r="L42" s="51" t="s">
        <v>13</v>
      </c>
    </row>
    <row r="43" spans="1:14" ht="21" customHeight="1" x14ac:dyDescent="0.25">
      <c r="A43" s="200" t="s">
        <v>144</v>
      </c>
      <c r="B43" s="200"/>
      <c r="C43" s="200"/>
      <c r="D43" s="200"/>
      <c r="E43" s="200"/>
      <c r="F43" s="200"/>
      <c r="G43" s="200"/>
      <c r="H43" s="200"/>
      <c r="I43" s="200"/>
      <c r="J43" s="200"/>
      <c r="K43" s="68">
        <f>K42*O14</f>
        <v>0</v>
      </c>
      <c r="L43" s="52" t="s">
        <v>16</v>
      </c>
    </row>
    <row r="45" spans="1:14" ht="18.75" x14ac:dyDescent="0.3">
      <c r="A45" s="190" t="s">
        <v>145</v>
      </c>
      <c r="B45" s="190"/>
      <c r="C45" s="190"/>
      <c r="D45" s="190"/>
      <c r="E45" s="190"/>
      <c r="F45" s="190"/>
      <c r="G45" s="190"/>
      <c r="H45" s="190"/>
      <c r="I45" s="190"/>
      <c r="J45" s="190"/>
      <c r="K45" s="65">
        <f>K42*O16*1.1514</f>
        <v>7459.2977994215762</v>
      </c>
      <c r="L45" s="53" t="s">
        <v>16</v>
      </c>
    </row>
    <row r="46" spans="1:14" ht="15.75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</row>
    <row r="47" spans="1:14" ht="18.75" x14ac:dyDescent="0.3">
      <c r="A47" s="190" t="s">
        <v>146</v>
      </c>
      <c r="B47" s="190"/>
      <c r="C47" s="190"/>
      <c r="D47" s="190"/>
      <c r="E47" s="190"/>
      <c r="F47" s="190"/>
      <c r="G47" s="190"/>
      <c r="H47" s="190"/>
      <c r="I47" s="190"/>
      <c r="J47" s="190"/>
      <c r="K47" s="65">
        <f>K43+K45</f>
        <v>7459.2977994215762</v>
      </c>
      <c r="L47" s="54" t="s">
        <v>16</v>
      </c>
    </row>
    <row r="49" spans="1:12" ht="15.75" x14ac:dyDescent="0.25">
      <c r="A49" s="197" t="s">
        <v>21</v>
      </c>
      <c r="B49" s="204"/>
      <c r="C49" s="204"/>
      <c r="D49" s="204"/>
      <c r="E49" s="204"/>
      <c r="F49" s="7"/>
      <c r="G49" s="7"/>
      <c r="H49" s="7"/>
      <c r="I49" s="7"/>
      <c r="J49" s="7"/>
      <c r="K49" s="7"/>
      <c r="L49" s="7"/>
    </row>
    <row r="50" spans="1:12" ht="15.75" x14ac:dyDescent="0.25">
      <c r="A50" s="3"/>
      <c r="B50" s="45"/>
      <c r="C50" s="45"/>
      <c r="D50" s="45"/>
      <c r="E50" s="45"/>
      <c r="F50" s="7"/>
      <c r="G50" s="7"/>
      <c r="H50" s="205" t="s">
        <v>25</v>
      </c>
      <c r="I50" s="205"/>
      <c r="J50" s="7"/>
      <c r="K50" s="7"/>
      <c r="L50" s="7"/>
    </row>
    <row r="51" spans="1:12" ht="15.75" x14ac:dyDescent="0.25">
      <c r="A51" s="7" t="s">
        <v>22</v>
      </c>
      <c r="B51" s="7"/>
      <c r="C51" s="193" t="s">
        <v>24</v>
      </c>
      <c r="D51" s="193"/>
      <c r="E51" s="193"/>
      <c r="F51" s="193"/>
      <c r="G51" s="7"/>
      <c r="H51" s="195"/>
      <c r="I51" s="195"/>
      <c r="J51" s="58"/>
      <c r="K51" s="59">
        <f>IF(L51="LINEAR",'DEPRECIAÇÃO LINEAR'!H23,(VLOOKUP(E15,'DEPRECIAÇÃO LINEAR'!W12:AM25,17,0)))</f>
        <v>3983.0128500000005</v>
      </c>
      <c r="L51" s="55" t="s">
        <v>130</v>
      </c>
    </row>
    <row r="52" spans="1:12" ht="15.75" x14ac:dyDescent="0.25">
      <c r="A52" s="7" t="s">
        <v>26</v>
      </c>
      <c r="B52" s="7"/>
      <c r="C52" s="193" t="s">
        <v>27</v>
      </c>
      <c r="D52" s="193"/>
      <c r="E52" s="193"/>
      <c r="F52" s="193"/>
      <c r="G52" s="7"/>
      <c r="H52" s="7"/>
      <c r="I52" s="7"/>
      <c r="J52" s="58"/>
      <c r="K52" s="58"/>
      <c r="L52" s="7"/>
    </row>
    <row r="53" spans="1:12" ht="15.75" x14ac:dyDescent="0.25">
      <c r="A53" s="7"/>
      <c r="B53" s="7" t="s">
        <v>31</v>
      </c>
      <c r="C53" s="193" t="s">
        <v>28</v>
      </c>
      <c r="D53" s="193"/>
      <c r="E53" s="193"/>
      <c r="F53" s="193"/>
      <c r="G53" s="7"/>
      <c r="H53" s="7"/>
      <c r="I53" s="7"/>
      <c r="J53" s="58"/>
      <c r="K53" s="58">
        <f>'Motorista de Veiculo Pesado'!E90</f>
        <v>8468.4608078400015</v>
      </c>
      <c r="L53" s="7"/>
    </row>
    <row r="54" spans="1:12" ht="15.75" x14ac:dyDescent="0.25">
      <c r="A54" s="7"/>
      <c r="B54" s="7" t="s">
        <v>32</v>
      </c>
      <c r="C54" s="193" t="s">
        <v>29</v>
      </c>
      <c r="D54" s="193"/>
      <c r="E54" s="193"/>
      <c r="F54" s="193"/>
      <c r="G54" s="7"/>
      <c r="H54" s="7"/>
      <c r="I54" s="7"/>
      <c r="J54" s="58"/>
      <c r="K54" s="58">
        <f>'Monitor de Transporte Escolar'!E90</f>
        <v>4485.726463695999</v>
      </c>
      <c r="L54" s="7"/>
    </row>
    <row r="55" spans="1:12" ht="15.75" x14ac:dyDescent="0.25">
      <c r="A55" s="7" t="s">
        <v>30</v>
      </c>
      <c r="B55" s="7"/>
      <c r="C55" s="193" t="s">
        <v>34</v>
      </c>
      <c r="D55" s="193"/>
      <c r="E55" s="193"/>
      <c r="F55" s="193"/>
      <c r="G55" s="7"/>
      <c r="H55" s="7"/>
      <c r="I55" s="7"/>
      <c r="J55" s="58"/>
      <c r="K55" s="58"/>
      <c r="L55" s="56"/>
    </row>
    <row r="56" spans="1:12" ht="15.75" x14ac:dyDescent="0.25">
      <c r="A56" s="7"/>
      <c r="B56" s="7" t="s">
        <v>33</v>
      </c>
      <c r="C56" s="7" t="s">
        <v>35</v>
      </c>
      <c r="D56" s="7"/>
      <c r="E56" s="7"/>
      <c r="F56" s="7"/>
      <c r="G56" s="7"/>
      <c r="H56" s="7"/>
      <c r="I56" s="7"/>
      <c r="J56" s="58">
        <f>1/100*E12</f>
        <v>5310.6837999999998</v>
      </c>
      <c r="K56" s="58">
        <f>J56/12</f>
        <v>442.55698333333333</v>
      </c>
      <c r="L56" s="7"/>
    </row>
    <row r="57" spans="1:12" ht="15.75" x14ac:dyDescent="0.25">
      <c r="A57" s="7"/>
      <c r="B57" s="7" t="s">
        <v>36</v>
      </c>
      <c r="C57" s="7" t="s">
        <v>37</v>
      </c>
      <c r="D57" s="7"/>
      <c r="E57" s="7"/>
      <c r="F57" s="7"/>
      <c r="G57" s="7"/>
      <c r="H57" s="7"/>
      <c r="I57" s="7"/>
      <c r="J57" s="58">
        <v>230.25</v>
      </c>
      <c r="K57" s="58">
        <f>J57/12</f>
        <v>19.1875</v>
      </c>
      <c r="L57" s="7"/>
    </row>
    <row r="58" spans="1:12" ht="15.75" x14ac:dyDescent="0.25">
      <c r="A58" s="7"/>
      <c r="B58" s="7" t="s">
        <v>38</v>
      </c>
      <c r="C58" s="193" t="s">
        <v>39</v>
      </c>
      <c r="D58" s="193"/>
      <c r="E58" s="193"/>
      <c r="F58" s="193"/>
      <c r="G58" s="7"/>
      <c r="H58" s="7"/>
      <c r="I58" s="7"/>
      <c r="J58" s="58">
        <v>161.80000000000001</v>
      </c>
      <c r="K58" s="58">
        <f>J58/12</f>
        <v>13.483333333333334</v>
      </c>
      <c r="L58" s="7"/>
    </row>
    <row r="59" spans="1:12" ht="15.75" x14ac:dyDescent="0.25">
      <c r="A59" s="7" t="s">
        <v>41</v>
      </c>
      <c r="B59" s="7"/>
      <c r="C59" s="7" t="s">
        <v>40</v>
      </c>
      <c r="D59" s="7"/>
      <c r="E59" s="7"/>
      <c r="F59" s="7"/>
      <c r="G59" s="7"/>
      <c r="H59" s="7"/>
      <c r="I59" s="7"/>
      <c r="J59" s="58">
        <v>0</v>
      </c>
      <c r="K59" s="58">
        <f>J59/12</f>
        <v>0</v>
      </c>
      <c r="L59" s="7"/>
    </row>
    <row r="60" spans="1:12" ht="15.75" x14ac:dyDescent="0.25">
      <c r="A60" s="7" t="s">
        <v>57</v>
      </c>
      <c r="B60" s="7"/>
      <c r="C60" s="193" t="s">
        <v>58</v>
      </c>
      <c r="D60" s="193"/>
      <c r="E60" s="193"/>
      <c r="F60" s="193"/>
      <c r="G60" s="193"/>
      <c r="H60" s="7"/>
      <c r="I60" s="7"/>
      <c r="J60" s="58">
        <f>Insumos!$B$8</f>
        <v>350.88</v>
      </c>
      <c r="K60" s="58">
        <f>4*J60</f>
        <v>1403.52</v>
      </c>
      <c r="L60" s="7"/>
    </row>
    <row r="61" spans="1:12" ht="15.75" x14ac:dyDescent="0.25">
      <c r="A61" s="7" t="s">
        <v>60</v>
      </c>
      <c r="B61" s="7"/>
      <c r="C61" s="45" t="s">
        <v>63</v>
      </c>
      <c r="D61" s="45"/>
      <c r="E61" s="45"/>
      <c r="F61" s="45"/>
      <c r="G61" s="45"/>
      <c r="H61" s="7"/>
      <c r="I61" s="7"/>
      <c r="J61" s="58">
        <f>Insumos!$B$9</f>
        <v>2680.95</v>
      </c>
      <c r="K61" s="58">
        <f>J61/12</f>
        <v>223.41249999999999</v>
      </c>
      <c r="L61" s="7"/>
    </row>
    <row r="62" spans="1:12" ht="15.75" x14ac:dyDescent="0.25">
      <c r="A62" s="7" t="s">
        <v>61</v>
      </c>
      <c r="B62" s="7"/>
      <c r="C62" s="193" t="s">
        <v>62</v>
      </c>
      <c r="D62" s="193"/>
      <c r="E62" s="193"/>
      <c r="F62" s="45"/>
      <c r="G62" s="45"/>
      <c r="H62" s="7"/>
      <c r="I62" s="7"/>
      <c r="J62" s="60">
        <f>Insumos!$B$10</f>
        <v>932.23</v>
      </c>
      <c r="K62" s="58">
        <f>J62/12</f>
        <v>77.685833333333335</v>
      </c>
      <c r="L62" s="7"/>
    </row>
    <row r="63" spans="1:12" ht="15.75" x14ac:dyDescent="0.25">
      <c r="A63" s="7" t="s">
        <v>142</v>
      </c>
      <c r="B63" s="7"/>
      <c r="C63" s="203" t="s">
        <v>143</v>
      </c>
      <c r="D63" s="203"/>
      <c r="E63" s="203"/>
      <c r="F63" s="203"/>
      <c r="G63" s="164"/>
      <c r="H63" s="7"/>
      <c r="I63" s="7"/>
      <c r="J63" s="60">
        <f>Insumos!$B$11</f>
        <v>471.82</v>
      </c>
      <c r="K63" s="72">
        <f>J63/24</f>
        <v>19.659166666666668</v>
      </c>
      <c r="L63" s="7"/>
    </row>
    <row r="64" spans="1:12" ht="15.75" x14ac:dyDescent="0.25">
      <c r="A64" s="7" t="s">
        <v>340</v>
      </c>
      <c r="B64" s="7"/>
      <c r="C64" s="165" t="s">
        <v>343</v>
      </c>
      <c r="D64" s="165"/>
      <c r="E64" s="165"/>
      <c r="F64" s="165"/>
      <c r="G64" s="164"/>
      <c r="H64" s="7"/>
      <c r="I64" s="7"/>
      <c r="J64" s="60">
        <f>Insumos!$B$12</f>
        <v>14.372399999999997</v>
      </c>
      <c r="K64" s="72">
        <f>J64/60</f>
        <v>0.23953999999999995</v>
      </c>
      <c r="L64" s="7"/>
    </row>
    <row r="65" spans="1:13" ht="20.25" customHeight="1" x14ac:dyDescent="0.25">
      <c r="A65" s="259" t="s">
        <v>43</v>
      </c>
      <c r="B65" s="260"/>
      <c r="C65" s="260"/>
      <c r="D65" s="260"/>
      <c r="E65" s="260"/>
      <c r="F65" s="260"/>
      <c r="G65" s="260"/>
      <c r="H65" s="260"/>
      <c r="I65" s="260"/>
      <c r="J65" s="261"/>
      <c r="K65" s="67">
        <f>SUM(K51:K64)</f>
        <v>19136.944978202664</v>
      </c>
      <c r="L65" s="57" t="s">
        <v>16</v>
      </c>
      <c r="M65" s="4"/>
    </row>
    <row r="67" spans="1:13" ht="19.5" customHeight="1" x14ac:dyDescent="0.3">
      <c r="A67" s="262" t="s">
        <v>132</v>
      </c>
      <c r="B67" s="263"/>
      <c r="C67" s="263"/>
      <c r="D67" s="263"/>
      <c r="E67" s="263"/>
      <c r="F67" s="263"/>
      <c r="G67" s="263"/>
      <c r="H67" s="263"/>
      <c r="I67" s="264"/>
      <c r="K67" s="66">
        <f>K47+K65</f>
        <v>26596.24277762424</v>
      </c>
    </row>
    <row r="69" spans="1:13" ht="15.75" x14ac:dyDescent="0.25">
      <c r="A69" s="254" t="s">
        <v>133</v>
      </c>
      <c r="B69" s="255"/>
      <c r="C69" s="255"/>
      <c r="D69" s="255"/>
      <c r="E69" s="256"/>
      <c r="I69" s="265" t="s">
        <v>55</v>
      </c>
      <c r="J69" s="266"/>
    </row>
    <row r="70" spans="1:13" ht="15.75" x14ac:dyDescent="0.25">
      <c r="A70" s="7" t="s">
        <v>341</v>
      </c>
      <c r="B70" s="7"/>
      <c r="C70" s="193" t="s">
        <v>54</v>
      </c>
      <c r="D70" s="193"/>
      <c r="E70" s="193"/>
      <c r="F70" s="193"/>
      <c r="G70" s="7"/>
      <c r="H70" s="7"/>
      <c r="I70" s="168">
        <f>Insumos!$B$15</f>
        <v>2.6599999999999999E-2</v>
      </c>
      <c r="J70" s="7"/>
      <c r="K70" s="58">
        <f>I70*K67</f>
        <v>707.46005788480477</v>
      </c>
      <c r="L70" s="7"/>
    </row>
    <row r="71" spans="1:13" ht="15.75" x14ac:dyDescent="0.25">
      <c r="A71" s="7" t="s">
        <v>342</v>
      </c>
      <c r="B71" s="7"/>
      <c r="C71" s="193" t="s">
        <v>59</v>
      </c>
      <c r="D71" s="193"/>
      <c r="E71" s="193"/>
      <c r="F71" s="193"/>
      <c r="G71" s="7"/>
      <c r="H71" s="7"/>
      <c r="I71" s="169">
        <f>Insumos!$B$16</f>
        <v>0.04</v>
      </c>
      <c r="J71" s="7"/>
      <c r="K71" s="58">
        <f>I71*(K67+K70)</f>
        <v>1092.1481134203618</v>
      </c>
      <c r="L71" s="7"/>
    </row>
    <row r="72" spans="1:13" ht="18.75" x14ac:dyDescent="0.3">
      <c r="A72" s="7"/>
      <c r="B72" s="7"/>
      <c r="C72" s="7"/>
      <c r="D72" s="7"/>
      <c r="E72" s="7"/>
      <c r="F72" s="7"/>
      <c r="G72" s="7"/>
      <c r="H72" s="7"/>
      <c r="I72" s="7"/>
      <c r="J72" s="61" t="s">
        <v>131</v>
      </c>
      <c r="K72" s="65">
        <f>SUM(K70:K71)</f>
        <v>1799.6081713051667</v>
      </c>
      <c r="L72" s="54" t="s">
        <v>16</v>
      </c>
    </row>
    <row r="74" spans="1:13" ht="15.75" x14ac:dyDescent="0.25">
      <c r="A74" s="254" t="s">
        <v>134</v>
      </c>
      <c r="B74" s="255"/>
      <c r="C74" s="255"/>
      <c r="D74" s="255"/>
      <c r="E74" s="256"/>
      <c r="F74" s="7"/>
      <c r="G74" s="7"/>
      <c r="H74" s="7"/>
      <c r="I74" s="7"/>
      <c r="J74" s="7"/>
      <c r="K74" s="7"/>
      <c r="L74" s="7"/>
    </row>
    <row r="75" spans="1:13" ht="15.75" x14ac:dyDescent="0.25">
      <c r="A75" s="193" t="s">
        <v>42</v>
      </c>
      <c r="B75" s="193"/>
      <c r="C75" s="193"/>
      <c r="D75" s="193"/>
      <c r="E75" s="193"/>
      <c r="F75" s="193"/>
      <c r="G75" s="7"/>
      <c r="H75" s="7"/>
      <c r="I75" s="219" t="s">
        <v>47</v>
      </c>
      <c r="J75" s="220"/>
      <c r="K75" s="51">
        <f>K67+K72</f>
        <v>28395.850948929408</v>
      </c>
      <c r="L75" s="7"/>
    </row>
    <row r="76" spans="1:13" ht="15.75" x14ac:dyDescent="0.25">
      <c r="A76" s="7" t="s">
        <v>53</v>
      </c>
      <c r="C76" s="7" t="s">
        <v>44</v>
      </c>
      <c r="D76" s="7"/>
      <c r="E76" s="7"/>
      <c r="F76" s="7"/>
      <c r="G76" s="7"/>
      <c r="H76" s="7"/>
      <c r="I76" s="257">
        <f>Insumos!$B$18</f>
        <v>0.05</v>
      </c>
      <c r="J76" s="258"/>
      <c r="K76" s="51">
        <f>$K$75/(1-(SUM($I$76:$J$78)))*I76</f>
        <v>1554.2337684143083</v>
      </c>
      <c r="L76" s="7"/>
    </row>
    <row r="77" spans="1:13" ht="15.75" x14ac:dyDescent="0.25">
      <c r="A77" s="7" t="s">
        <v>344</v>
      </c>
      <c r="C77" s="7" t="s">
        <v>45</v>
      </c>
      <c r="D77" s="7"/>
      <c r="E77" s="7"/>
      <c r="F77" s="7"/>
      <c r="G77" s="7"/>
      <c r="H77" s="7"/>
      <c r="I77" s="257">
        <f>Insumos!$B$19</f>
        <v>6.4999999999999997E-3</v>
      </c>
      <c r="J77" s="258"/>
      <c r="K77" s="51">
        <f>$K$75/(1-(SUM($I$76:$J$78)))*I77</f>
        <v>202.05038989386006</v>
      </c>
      <c r="L77" s="7"/>
    </row>
    <row r="78" spans="1:13" ht="15.75" x14ac:dyDescent="0.25">
      <c r="A78" s="7" t="s">
        <v>345</v>
      </c>
      <c r="C78" s="7" t="s">
        <v>46</v>
      </c>
      <c r="D78" s="7"/>
      <c r="E78" s="7"/>
      <c r="F78" s="7"/>
      <c r="G78" s="7"/>
      <c r="H78" s="7"/>
      <c r="I78" s="257">
        <f>Insumos!$B$20</f>
        <v>0.03</v>
      </c>
      <c r="J78" s="258"/>
      <c r="K78" s="51">
        <f>$K$75/(1-(SUM($I$76:$J$78)))*I78</f>
        <v>932.54026104858485</v>
      </c>
      <c r="L78" s="7"/>
    </row>
    <row r="79" spans="1:13" ht="21" customHeight="1" x14ac:dyDescent="0.3">
      <c r="A79" s="251" t="s">
        <v>48</v>
      </c>
      <c r="B79" s="252"/>
      <c r="C79" s="252"/>
      <c r="D79" s="252"/>
      <c r="E79" s="252"/>
      <c r="F79" s="252"/>
      <c r="G79" s="252"/>
      <c r="H79" s="252"/>
      <c r="I79" s="252"/>
      <c r="J79" s="253"/>
      <c r="K79" s="64">
        <f>SUM(K76:K78)</f>
        <v>2688.8244193567534</v>
      </c>
      <c r="L79" s="54" t="s">
        <v>16</v>
      </c>
    </row>
    <row r="81" spans="1:20" x14ac:dyDescent="0.25">
      <c r="C81" s="5"/>
      <c r="D81" s="5"/>
      <c r="E81" s="5"/>
      <c r="F81" s="5"/>
      <c r="K81" s="2"/>
    </row>
    <row r="82" spans="1:20" ht="15.75" x14ac:dyDescent="0.25">
      <c r="A82" s="191" t="s">
        <v>56</v>
      </c>
      <c r="B82" s="191"/>
      <c r="C82" s="191"/>
      <c r="D82" s="191"/>
      <c r="E82" s="191"/>
      <c r="F82" s="191"/>
      <c r="G82" s="191"/>
      <c r="H82" s="191"/>
      <c r="I82" s="191"/>
      <c r="T82" s="43"/>
    </row>
    <row r="83" spans="1:20" ht="15.75" x14ac:dyDescent="0.25">
      <c r="A83" s="6"/>
      <c r="B83" s="6"/>
      <c r="C83" s="6"/>
      <c r="D83" s="6"/>
      <c r="E83" s="6"/>
      <c r="F83" s="6"/>
      <c r="G83" s="6"/>
      <c r="H83" s="6"/>
      <c r="I83" s="6"/>
    </row>
    <row r="84" spans="1:20" ht="15.75" x14ac:dyDescent="0.25">
      <c r="A84" s="191" t="s">
        <v>51</v>
      </c>
      <c r="B84" s="192"/>
      <c r="C84" s="192"/>
      <c r="D84" s="192"/>
      <c r="E84" s="192"/>
      <c r="F84" s="192"/>
      <c r="G84" s="192"/>
      <c r="H84" s="192"/>
    </row>
    <row r="85" spans="1:20" ht="20.25" customHeight="1" x14ac:dyDescent="0.3">
      <c r="A85" s="193" t="s">
        <v>135</v>
      </c>
      <c r="B85" s="193"/>
      <c r="C85" s="193"/>
      <c r="D85" s="193"/>
      <c r="E85" s="193"/>
      <c r="F85" s="193"/>
      <c r="G85" s="193"/>
      <c r="H85" s="193"/>
      <c r="I85" s="193"/>
      <c r="J85" s="193"/>
      <c r="K85" s="62">
        <f>K67+K72+K79</f>
        <v>31084.67536828616</v>
      </c>
    </row>
    <row r="86" spans="1:20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2"/>
    </row>
    <row r="87" spans="1:20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2"/>
      <c r="P87" s="42"/>
    </row>
    <row r="88" spans="1:20" ht="8.25" customHeight="1" x14ac:dyDescent="0.25"/>
    <row r="89" spans="1:20" ht="16.5" customHeight="1" x14ac:dyDescent="0.25">
      <c r="A89" s="194" t="s">
        <v>49</v>
      </c>
      <c r="B89" s="195"/>
      <c r="C89" s="195"/>
      <c r="D89" s="195"/>
      <c r="E89" s="195"/>
      <c r="F89" s="195"/>
      <c r="G89" s="195"/>
      <c r="H89" s="195"/>
      <c r="I89" s="195"/>
      <c r="J89" s="195"/>
      <c r="K89" s="7"/>
      <c r="L89" s="7"/>
    </row>
    <row r="90" spans="1:20" ht="24.75" customHeight="1" x14ac:dyDescent="0.3">
      <c r="A90" s="196" t="s">
        <v>141</v>
      </c>
      <c r="B90" s="196"/>
      <c r="C90" s="196"/>
      <c r="D90" s="196"/>
      <c r="E90" s="196"/>
      <c r="F90" s="196"/>
      <c r="G90" s="196"/>
      <c r="H90" s="196"/>
      <c r="I90" s="196"/>
      <c r="J90" s="196"/>
      <c r="K90" s="71">
        <f>K85/O18</f>
        <v>23.128478696641487</v>
      </c>
      <c r="L90" s="63" t="s">
        <v>50</v>
      </c>
    </row>
    <row r="94" spans="1:20" s="10" customFormat="1" x14ac:dyDescent="0.25"/>
    <row r="95" spans="1:20" s="11" customFormat="1" ht="18.75" x14ac:dyDescent="0.3">
      <c r="B95" s="12" t="s">
        <v>69</v>
      </c>
      <c r="D95" s="188" t="s">
        <v>65</v>
      </c>
      <c r="E95" s="188"/>
      <c r="L95" s="12" t="s">
        <v>69</v>
      </c>
      <c r="M95" s="12"/>
      <c r="N95" s="12" t="s">
        <v>75</v>
      </c>
      <c r="O95" s="12"/>
    </row>
    <row r="96" spans="1:20" s="11" customFormat="1" x14ac:dyDescent="0.25"/>
    <row r="97" spans="2:18" s="11" customFormat="1" x14ac:dyDescent="0.25">
      <c r="B97" s="184" t="s">
        <v>66</v>
      </c>
      <c r="C97" s="184"/>
      <c r="D97" s="13"/>
      <c r="E97" s="13"/>
      <c r="F97" s="189">
        <v>288912</v>
      </c>
      <c r="G97" s="189"/>
      <c r="L97" s="13" t="s">
        <v>66</v>
      </c>
      <c r="M97" s="13"/>
      <c r="N97" s="13"/>
      <c r="O97" s="13"/>
      <c r="P97" s="13"/>
      <c r="Q97" s="30">
        <v>271500</v>
      </c>
    </row>
    <row r="98" spans="2:18" s="11" customFormat="1" x14ac:dyDescent="0.25">
      <c r="B98" s="13" t="s">
        <v>67</v>
      </c>
      <c r="D98" s="13"/>
      <c r="E98" s="13"/>
      <c r="F98" s="185">
        <v>10</v>
      </c>
      <c r="G98" s="185"/>
      <c r="H98" s="11" t="s">
        <v>154</v>
      </c>
      <c r="L98" s="13" t="s">
        <v>67</v>
      </c>
      <c r="M98" s="13"/>
      <c r="N98" s="13"/>
      <c r="O98" s="13"/>
      <c r="P98" s="13"/>
      <c r="Q98" s="13">
        <v>10</v>
      </c>
      <c r="R98" s="11" t="s">
        <v>154</v>
      </c>
    </row>
    <row r="99" spans="2:18" s="11" customFormat="1" x14ac:dyDescent="0.25">
      <c r="B99" s="13" t="s">
        <v>81</v>
      </c>
      <c r="D99" s="13"/>
      <c r="E99" s="13"/>
      <c r="F99" s="14"/>
      <c r="G99" s="14">
        <v>2018</v>
      </c>
      <c r="L99" s="13" t="s">
        <v>81</v>
      </c>
      <c r="N99" s="13"/>
      <c r="O99" s="13"/>
      <c r="P99" s="14"/>
      <c r="Q99" s="14">
        <v>2018</v>
      </c>
    </row>
    <row r="100" spans="2:18" s="11" customFormat="1" x14ac:dyDescent="0.25">
      <c r="B100" s="184" t="s">
        <v>68</v>
      </c>
      <c r="C100" s="184"/>
      <c r="D100" s="184"/>
      <c r="F100" s="185">
        <v>6</v>
      </c>
      <c r="G100" s="185"/>
      <c r="L100" s="13" t="s">
        <v>76</v>
      </c>
      <c r="M100" s="13"/>
      <c r="N100" s="13"/>
      <c r="O100" s="13"/>
      <c r="P100" s="13"/>
      <c r="Q100" s="13">
        <v>6</v>
      </c>
    </row>
    <row r="101" spans="2:18" s="11" customFormat="1" x14ac:dyDescent="0.25">
      <c r="B101" s="184" t="s">
        <v>71</v>
      </c>
      <c r="C101" s="184"/>
      <c r="D101" s="184"/>
      <c r="F101" s="14"/>
      <c r="G101" s="17">
        <v>100000</v>
      </c>
      <c r="L101" s="13" t="s">
        <v>71</v>
      </c>
      <c r="M101" s="13"/>
      <c r="N101" s="13"/>
      <c r="O101" s="13"/>
      <c r="P101" s="13"/>
      <c r="Q101" s="19">
        <v>100000</v>
      </c>
    </row>
    <row r="102" spans="2:18" s="11" customFormat="1" x14ac:dyDescent="0.25">
      <c r="B102" s="184" t="s">
        <v>72</v>
      </c>
      <c r="C102" s="184"/>
      <c r="D102" s="184"/>
      <c r="F102" s="14"/>
      <c r="G102" s="20">
        <v>1533.77</v>
      </c>
      <c r="L102" s="13" t="s">
        <v>72</v>
      </c>
      <c r="M102" s="13"/>
      <c r="N102" s="13"/>
      <c r="O102" s="13"/>
      <c r="P102" s="13"/>
      <c r="Q102" s="69">
        <v>860.69</v>
      </c>
    </row>
    <row r="103" spans="2:18" s="11" customFormat="1" x14ac:dyDescent="0.25">
      <c r="B103" s="184" t="s">
        <v>73</v>
      </c>
      <c r="C103" s="184"/>
      <c r="D103" s="15"/>
      <c r="F103" s="14"/>
      <c r="G103" s="14">
        <v>2.6</v>
      </c>
      <c r="H103" s="13" t="s">
        <v>74</v>
      </c>
      <c r="L103" s="13" t="s">
        <v>73</v>
      </c>
      <c r="M103" s="13"/>
      <c r="N103" s="13"/>
      <c r="O103" s="13"/>
      <c r="P103" s="13"/>
      <c r="Q103" s="13">
        <v>4.7</v>
      </c>
    </row>
    <row r="104" spans="2:18" s="11" customFormat="1" x14ac:dyDescent="0.25">
      <c r="B104" s="184" t="s">
        <v>70</v>
      </c>
      <c r="C104" s="184"/>
      <c r="D104" s="184"/>
      <c r="F104" s="185" t="s">
        <v>125</v>
      </c>
      <c r="G104" s="185"/>
      <c r="L104" s="13" t="s">
        <v>70</v>
      </c>
      <c r="M104" s="13"/>
      <c r="N104" s="13"/>
      <c r="O104" s="13"/>
      <c r="P104" s="13"/>
      <c r="Q104" s="13" t="s">
        <v>124</v>
      </c>
    </row>
    <row r="105" spans="2:18" s="11" customFormat="1" x14ac:dyDescent="0.25"/>
    <row r="106" spans="2:18" s="11" customFormat="1" x14ac:dyDescent="0.25"/>
    <row r="107" spans="2:18" s="11" customFormat="1" ht="18.75" x14ac:dyDescent="0.3">
      <c r="B107" s="12" t="s">
        <v>69</v>
      </c>
      <c r="C107" s="12"/>
      <c r="D107" s="12" t="s">
        <v>77</v>
      </c>
      <c r="E107" s="13"/>
      <c r="F107" s="13"/>
      <c r="G107" s="13"/>
      <c r="H107" s="13"/>
      <c r="L107" s="12" t="s">
        <v>69</v>
      </c>
      <c r="M107" s="16"/>
      <c r="N107" s="16"/>
      <c r="O107" s="12" t="s">
        <v>78</v>
      </c>
    </row>
    <row r="108" spans="2:18" s="11" customFormat="1" x14ac:dyDescent="0.25">
      <c r="B108" s="13"/>
      <c r="C108" s="13"/>
      <c r="D108" s="13"/>
      <c r="E108" s="13"/>
      <c r="F108" s="13"/>
      <c r="G108" s="13"/>
      <c r="H108" s="13"/>
    </row>
    <row r="109" spans="2:18" s="11" customFormat="1" x14ac:dyDescent="0.25">
      <c r="B109" s="184" t="s">
        <v>66</v>
      </c>
      <c r="C109" s="184"/>
      <c r="D109" s="13"/>
      <c r="E109" s="13"/>
      <c r="F109" s="185">
        <v>400</v>
      </c>
      <c r="G109" s="185"/>
      <c r="H109" s="13"/>
      <c r="L109" s="184" t="s">
        <v>66</v>
      </c>
      <c r="M109" s="184"/>
      <c r="N109" s="13"/>
      <c r="O109" s="13"/>
      <c r="P109" s="185" t="s">
        <v>78</v>
      </c>
      <c r="Q109" s="185"/>
      <c r="R109" s="13"/>
    </row>
    <row r="110" spans="2:18" s="11" customFormat="1" x14ac:dyDescent="0.25">
      <c r="B110" s="13" t="s">
        <v>67</v>
      </c>
      <c r="C110" s="13"/>
      <c r="D110" s="13"/>
      <c r="E110" s="13"/>
      <c r="F110" s="185">
        <v>10</v>
      </c>
      <c r="G110" s="185"/>
      <c r="H110" s="13" t="s">
        <v>154</v>
      </c>
      <c r="L110" s="13" t="s">
        <v>67</v>
      </c>
      <c r="M110" s="13"/>
      <c r="N110" s="13"/>
      <c r="O110" s="13"/>
      <c r="P110" s="185">
        <v>8</v>
      </c>
      <c r="Q110" s="185"/>
      <c r="R110" s="13" t="s">
        <v>154</v>
      </c>
    </row>
    <row r="111" spans="2:18" s="11" customFormat="1" x14ac:dyDescent="0.25">
      <c r="B111" s="13" t="s">
        <v>81</v>
      </c>
      <c r="D111" s="13"/>
      <c r="E111" s="13"/>
      <c r="F111" s="14"/>
      <c r="G111" s="14" t="s">
        <v>82</v>
      </c>
      <c r="L111" s="13" t="s">
        <v>81</v>
      </c>
      <c r="N111" s="13"/>
      <c r="O111" s="13"/>
      <c r="P111" s="14"/>
      <c r="Q111" s="14" t="s">
        <v>83</v>
      </c>
      <c r="R111" s="13"/>
    </row>
    <row r="112" spans="2:18" s="11" customFormat="1" x14ac:dyDescent="0.25">
      <c r="B112" s="184" t="s">
        <v>68</v>
      </c>
      <c r="C112" s="184"/>
      <c r="D112" s="184"/>
      <c r="E112" s="13"/>
      <c r="F112" s="185" t="s">
        <v>87</v>
      </c>
      <c r="G112" s="185"/>
      <c r="H112" s="13"/>
      <c r="L112" s="184" t="s">
        <v>68</v>
      </c>
      <c r="M112" s="184"/>
      <c r="N112" s="184"/>
      <c r="O112" s="13"/>
      <c r="P112" s="185" t="s">
        <v>88</v>
      </c>
      <c r="Q112" s="185"/>
      <c r="R112" s="13"/>
    </row>
    <row r="113" spans="2:21" s="11" customFormat="1" x14ac:dyDescent="0.25">
      <c r="B113" s="184" t="s">
        <v>71</v>
      </c>
      <c r="C113" s="184"/>
      <c r="D113" s="184"/>
      <c r="E113" s="13"/>
      <c r="F113" s="14"/>
      <c r="G113" s="14" t="s">
        <v>89</v>
      </c>
      <c r="H113" s="13"/>
      <c r="L113" s="184" t="s">
        <v>71</v>
      </c>
      <c r="M113" s="184"/>
      <c r="N113" s="184"/>
      <c r="O113" s="13"/>
      <c r="P113" s="14"/>
      <c r="Q113" s="14" t="s">
        <v>90</v>
      </c>
      <c r="R113" s="13"/>
    </row>
    <row r="114" spans="2:21" s="11" customFormat="1" x14ac:dyDescent="0.25">
      <c r="B114" s="184" t="s">
        <v>72</v>
      </c>
      <c r="C114" s="184"/>
      <c r="D114" s="184"/>
      <c r="E114" s="13"/>
      <c r="F114" s="14"/>
      <c r="G114" s="14">
        <v>400</v>
      </c>
      <c r="H114" s="13"/>
      <c r="L114" s="184" t="s">
        <v>72</v>
      </c>
      <c r="M114" s="184"/>
      <c r="N114" s="184"/>
      <c r="O114" s="13"/>
      <c r="P114" s="14"/>
      <c r="Q114" s="14">
        <v>4444</v>
      </c>
      <c r="R114" s="13"/>
    </row>
    <row r="115" spans="2:21" s="11" customFormat="1" x14ac:dyDescent="0.25">
      <c r="B115" s="184" t="s">
        <v>73</v>
      </c>
      <c r="C115" s="184"/>
      <c r="D115" s="15"/>
      <c r="E115" s="13"/>
      <c r="F115" s="14"/>
      <c r="G115" s="14">
        <v>2</v>
      </c>
      <c r="H115" s="13" t="s">
        <v>74</v>
      </c>
      <c r="L115" s="184" t="s">
        <v>73</v>
      </c>
      <c r="M115" s="184"/>
      <c r="N115" s="15"/>
      <c r="O115" s="13"/>
      <c r="P115" s="14"/>
      <c r="Q115" s="14">
        <v>4</v>
      </c>
      <c r="R115" s="13" t="s">
        <v>74</v>
      </c>
    </row>
    <row r="116" spans="2:21" s="11" customFormat="1" x14ac:dyDescent="0.25">
      <c r="B116" s="184" t="s">
        <v>70</v>
      </c>
      <c r="C116" s="184"/>
      <c r="D116" s="184"/>
      <c r="E116" s="13"/>
      <c r="F116" s="185" t="s">
        <v>85</v>
      </c>
      <c r="G116" s="185"/>
      <c r="H116" s="13"/>
      <c r="L116" s="184" t="s">
        <v>70</v>
      </c>
      <c r="M116" s="184"/>
      <c r="N116" s="184"/>
      <c r="O116" s="13"/>
      <c r="P116" s="185" t="s">
        <v>86</v>
      </c>
      <c r="Q116" s="185"/>
      <c r="R116" s="13"/>
    </row>
    <row r="117" spans="2:21" s="11" customFormat="1" x14ac:dyDescent="0.25"/>
    <row r="118" spans="2:21" s="11" customFormat="1" x14ac:dyDescent="0.25"/>
    <row r="119" spans="2:21" s="11" customFormat="1" ht="18.75" x14ac:dyDescent="0.3">
      <c r="Q119" s="12" t="s">
        <v>65</v>
      </c>
      <c r="R119" s="12"/>
      <c r="T119" s="13" t="s">
        <v>130</v>
      </c>
      <c r="U119" s="13"/>
    </row>
    <row r="120" spans="2:21" s="11" customFormat="1" ht="18.75" x14ac:dyDescent="0.3">
      <c r="Q120" s="12" t="s">
        <v>75</v>
      </c>
      <c r="T120" s="13" t="s">
        <v>129</v>
      </c>
      <c r="U120" s="13"/>
    </row>
    <row r="121" spans="2:21" s="11" customFormat="1" ht="18.75" x14ac:dyDescent="0.3">
      <c r="Q121" s="12" t="s">
        <v>77</v>
      </c>
    </row>
    <row r="122" spans="2:21" s="11" customFormat="1" ht="18" customHeight="1" x14ac:dyDescent="0.3">
      <c r="B122" s="186" t="s">
        <v>172</v>
      </c>
      <c r="C122" s="186"/>
      <c r="Q122" s="12" t="s">
        <v>78</v>
      </c>
    </row>
    <row r="123" spans="2:21" ht="0.75" hidden="1" customHeight="1" x14ac:dyDescent="0.25">
      <c r="B123" s="186"/>
      <c r="C123" s="186"/>
    </row>
    <row r="124" spans="2:21" hidden="1" x14ac:dyDescent="0.25">
      <c r="B124" s="186"/>
      <c r="C124" s="186"/>
    </row>
    <row r="125" spans="2:21" x14ac:dyDescent="0.25">
      <c r="B125" s="186"/>
      <c r="C125" s="186"/>
    </row>
    <row r="126" spans="2:21" ht="24.75" x14ac:dyDescent="0.25">
      <c r="B126" s="94" t="s">
        <v>173</v>
      </c>
      <c r="C126" s="9" t="s">
        <v>174</v>
      </c>
      <c r="D126" s="9"/>
      <c r="E126" s="9"/>
      <c r="F126" s="9" t="s">
        <v>175</v>
      </c>
      <c r="G126" s="9"/>
      <c r="H126" s="9"/>
      <c r="I126" s="9" t="s">
        <v>176</v>
      </c>
      <c r="J126" s="9"/>
      <c r="K126" s="9"/>
      <c r="L126" s="9" t="s">
        <v>177</v>
      </c>
      <c r="M126" s="9"/>
      <c r="N126" s="9"/>
    </row>
    <row r="127" spans="2:21" x14ac:dyDescent="0.25">
      <c r="B127" s="5">
        <v>40</v>
      </c>
      <c r="C127" s="2">
        <f>$K$42*(B127*21)</f>
        <v>4049.0369329846144</v>
      </c>
      <c r="F127" s="2">
        <f>(C127+$K$65)*0.05</f>
        <v>1159.2990955593639</v>
      </c>
      <c r="I127" s="2">
        <f>(C127+$K$65+F127)*6%</f>
        <v>1460.7168604047984</v>
      </c>
      <c r="L127" s="31">
        <f>(C127+$K$65+F127+I127)*14.25%</f>
        <v>3677.3546960690801</v>
      </c>
      <c r="M127" s="9"/>
      <c r="N127" s="9"/>
    </row>
    <row r="128" spans="2:21" x14ac:dyDescent="0.25">
      <c r="B128" s="5">
        <v>50</v>
      </c>
      <c r="C128" s="2">
        <f t="shared" ref="C128:C139" si="0">$K$42*(B128*21)</f>
        <v>5061.296166230768</v>
      </c>
      <c r="F128" s="2">
        <f t="shared" ref="F128:F139" si="1">(C128+$K$65)*0.05</f>
        <v>1209.9120572216716</v>
      </c>
      <c r="I128" s="2">
        <f t="shared" ref="I128:I139" si="2">(C128+$K$65+F128)*6%</f>
        <v>1524.4891920993061</v>
      </c>
      <c r="L128" s="31">
        <f t="shared" ref="L128:L139" si="3">(C128+$K$65+F128+I128)*14.25%</f>
        <v>3837.9015411100031</v>
      </c>
      <c r="M128" s="9"/>
      <c r="N128" s="9"/>
    </row>
    <row r="129" spans="2:14" x14ac:dyDescent="0.25">
      <c r="B129" s="5">
        <v>60</v>
      </c>
      <c r="C129" s="2">
        <f t="shared" si="0"/>
        <v>6073.5553994769216</v>
      </c>
      <c r="F129" s="2">
        <f t="shared" si="1"/>
        <v>1260.5250188839793</v>
      </c>
      <c r="I129" s="2">
        <f t="shared" si="2"/>
        <v>1588.2615237938137</v>
      </c>
      <c r="L129" s="31">
        <f t="shared" si="3"/>
        <v>3998.4483861509261</v>
      </c>
      <c r="M129" s="9"/>
      <c r="N129" s="9"/>
    </row>
    <row r="130" spans="2:14" x14ac:dyDescent="0.25">
      <c r="B130" s="5">
        <v>70</v>
      </c>
      <c r="C130" s="2">
        <f t="shared" si="0"/>
        <v>7085.8146327230752</v>
      </c>
      <c r="F130" s="2">
        <f t="shared" si="1"/>
        <v>1311.1379805462871</v>
      </c>
      <c r="I130" s="2">
        <f t="shared" si="2"/>
        <v>1652.0338554883215</v>
      </c>
      <c r="L130" s="31">
        <f t="shared" si="3"/>
        <v>4158.9952311918487</v>
      </c>
      <c r="M130" s="9"/>
      <c r="N130" s="9"/>
    </row>
    <row r="131" spans="2:14" x14ac:dyDescent="0.25">
      <c r="B131" s="5">
        <v>80</v>
      </c>
      <c r="C131" s="2">
        <f t="shared" si="0"/>
        <v>8098.0738659692288</v>
      </c>
      <c r="F131" s="2">
        <f t="shared" si="1"/>
        <v>1361.7509422085948</v>
      </c>
      <c r="I131" s="2">
        <f t="shared" si="2"/>
        <v>1715.806187182829</v>
      </c>
      <c r="L131" s="31">
        <f t="shared" si="3"/>
        <v>4319.5420762327722</v>
      </c>
      <c r="M131" s="9"/>
      <c r="N131" s="9"/>
    </row>
    <row r="132" spans="2:14" x14ac:dyDescent="0.25">
      <c r="B132" s="5">
        <v>90</v>
      </c>
      <c r="C132" s="2">
        <f t="shared" si="0"/>
        <v>9110.3330992153824</v>
      </c>
      <c r="F132" s="2">
        <f t="shared" si="1"/>
        <v>1412.3639038709025</v>
      </c>
      <c r="I132" s="2">
        <f t="shared" si="2"/>
        <v>1779.578518877337</v>
      </c>
      <c r="L132" s="31">
        <f t="shared" si="3"/>
        <v>4480.0889212736956</v>
      </c>
      <c r="M132" s="9"/>
      <c r="N132" s="9"/>
    </row>
    <row r="133" spans="2:14" x14ac:dyDescent="0.25">
      <c r="B133" s="5">
        <v>100</v>
      </c>
      <c r="C133" s="2">
        <f t="shared" si="0"/>
        <v>10122.592332461536</v>
      </c>
      <c r="F133" s="2">
        <f t="shared" si="1"/>
        <v>1462.97686553321</v>
      </c>
      <c r="I133" s="2">
        <f t="shared" si="2"/>
        <v>1843.3508505718444</v>
      </c>
      <c r="L133" s="31">
        <f t="shared" si="3"/>
        <v>4640.6357663146182</v>
      </c>
      <c r="M133" s="9"/>
      <c r="N133" s="9"/>
    </row>
    <row r="134" spans="2:14" x14ac:dyDescent="0.25">
      <c r="B134" s="5">
        <v>110</v>
      </c>
      <c r="C134" s="2">
        <f t="shared" si="0"/>
        <v>11134.85156570769</v>
      </c>
      <c r="F134" s="2">
        <f t="shared" si="1"/>
        <v>1513.5898271955177</v>
      </c>
      <c r="I134" s="2">
        <f t="shared" si="2"/>
        <v>1907.1231822663524</v>
      </c>
      <c r="L134" s="31">
        <f t="shared" si="3"/>
        <v>4801.1826113555417</v>
      </c>
      <c r="M134" s="9"/>
      <c r="N134" s="9"/>
    </row>
    <row r="135" spans="2:14" x14ac:dyDescent="0.25">
      <c r="B135" s="5">
        <v>120</v>
      </c>
      <c r="C135" s="2">
        <f t="shared" si="0"/>
        <v>12147.110798953843</v>
      </c>
      <c r="F135" s="2">
        <f t="shared" si="1"/>
        <v>1564.2027888578255</v>
      </c>
      <c r="I135" s="2">
        <f t="shared" si="2"/>
        <v>1970.8955139608597</v>
      </c>
      <c r="L135" s="31">
        <f t="shared" si="3"/>
        <v>4961.7294563964642</v>
      </c>
      <c r="M135" s="9"/>
      <c r="N135" s="9"/>
    </row>
    <row r="136" spans="2:14" x14ac:dyDescent="0.25">
      <c r="B136" s="5">
        <v>130</v>
      </c>
      <c r="C136" s="2">
        <f t="shared" si="0"/>
        <v>13159.370032199997</v>
      </c>
      <c r="F136" s="2">
        <f t="shared" si="1"/>
        <v>1614.8157505201332</v>
      </c>
      <c r="I136" s="2">
        <f t="shared" si="2"/>
        <v>2034.6678456553677</v>
      </c>
      <c r="L136" s="31">
        <f t="shared" si="3"/>
        <v>5122.2763014373886</v>
      </c>
      <c r="M136" s="9"/>
      <c r="N136" s="9"/>
    </row>
    <row r="137" spans="2:14" x14ac:dyDescent="0.25">
      <c r="B137" s="5">
        <v>140</v>
      </c>
      <c r="C137" s="2">
        <f t="shared" si="0"/>
        <v>14171.62926544615</v>
      </c>
      <c r="F137" s="2">
        <f t="shared" si="1"/>
        <v>1665.4287121824409</v>
      </c>
      <c r="I137" s="2">
        <f t="shared" si="2"/>
        <v>2098.4401773498753</v>
      </c>
      <c r="L137" s="31">
        <f t="shared" si="3"/>
        <v>5282.8231464783103</v>
      </c>
      <c r="M137" s="9"/>
      <c r="N137" s="9"/>
    </row>
    <row r="138" spans="2:14" x14ac:dyDescent="0.25">
      <c r="B138" s="5">
        <v>150</v>
      </c>
      <c r="C138" s="2">
        <f t="shared" si="0"/>
        <v>15183.888498692304</v>
      </c>
      <c r="F138" s="2">
        <f t="shared" si="1"/>
        <v>1716.0416738447486</v>
      </c>
      <c r="I138" s="2">
        <f t="shared" si="2"/>
        <v>2162.2125090443828</v>
      </c>
      <c r="L138" s="31">
        <f t="shared" si="3"/>
        <v>5443.3699915192337</v>
      </c>
      <c r="M138" s="9"/>
      <c r="N138" s="9"/>
    </row>
    <row r="139" spans="2:14" x14ac:dyDescent="0.25">
      <c r="B139" s="5">
        <v>160</v>
      </c>
      <c r="C139" s="2">
        <f t="shared" si="0"/>
        <v>16196.147731938458</v>
      </c>
      <c r="F139" s="2">
        <f t="shared" si="1"/>
        <v>1766.6546355070561</v>
      </c>
      <c r="I139" s="2">
        <f t="shared" si="2"/>
        <v>2225.9848407388904</v>
      </c>
      <c r="L139" s="31">
        <f t="shared" si="3"/>
        <v>5603.9168365601563</v>
      </c>
      <c r="M139" s="9"/>
      <c r="N139" s="9"/>
    </row>
    <row r="140" spans="2:14" x14ac:dyDescent="0.25">
      <c r="B140" s="5"/>
    </row>
    <row r="143" spans="2:14" x14ac:dyDescent="0.25">
      <c r="B143" s="187" t="s">
        <v>178</v>
      </c>
      <c r="C143" s="187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</row>
    <row r="144" spans="2:14" x14ac:dyDescent="0.25">
      <c r="B144" s="187"/>
      <c r="C144" s="187"/>
    </row>
    <row r="145" spans="2:14" x14ac:dyDescent="0.25">
      <c r="B145" s="187"/>
      <c r="C145" s="187"/>
    </row>
    <row r="146" spans="2:14" x14ac:dyDescent="0.25">
      <c r="B146" s="187"/>
      <c r="C146" s="187"/>
    </row>
    <row r="147" spans="2:14" ht="24.75" x14ac:dyDescent="0.25">
      <c r="B147" s="94" t="s">
        <v>173</v>
      </c>
      <c r="C147" s="9" t="s">
        <v>174</v>
      </c>
      <c r="D147" s="9"/>
      <c r="E147" s="9"/>
      <c r="F147" s="9" t="s">
        <v>175</v>
      </c>
      <c r="G147" s="9"/>
      <c r="H147" s="9"/>
      <c r="I147" s="9" t="s">
        <v>176</v>
      </c>
      <c r="J147" s="9"/>
      <c r="K147" s="9"/>
      <c r="L147" s="9" t="s">
        <v>177</v>
      </c>
      <c r="M147" s="9"/>
      <c r="N147" s="9"/>
    </row>
    <row r="148" spans="2:14" x14ac:dyDescent="0.25">
      <c r="B148" s="5">
        <v>40</v>
      </c>
      <c r="C148" s="2">
        <f>($K$42*(B148*21))*1.154</f>
        <v>4672.5886206642444</v>
      </c>
      <c r="F148" s="2">
        <f>(C148+$K$65)*0.05</f>
        <v>1190.4766799433455</v>
      </c>
      <c r="I148" s="2">
        <f>(C148+$K$65+F148)*6%</f>
        <v>1500.0006167286153</v>
      </c>
      <c r="L148" s="31">
        <f>(C148+$K$65+F148+I148)*14.25%</f>
        <v>3776.2515526142888</v>
      </c>
      <c r="M148" s="9"/>
      <c r="N148" s="9"/>
    </row>
    <row r="149" spans="2:14" x14ac:dyDescent="0.25">
      <c r="B149" s="5">
        <v>50</v>
      </c>
      <c r="C149" s="2">
        <f t="shared" ref="C149:C160" si="4">($K$42*(B149*21))*1.154</f>
        <v>5840.735775830306</v>
      </c>
      <c r="F149" s="2">
        <f t="shared" ref="F149:F160" si="5">(C149+$K$65)*0.05</f>
        <v>1248.8840377016486</v>
      </c>
      <c r="I149" s="2">
        <f t="shared" ref="I149:I160" si="6">(C149+$K$65+F149)*6%</f>
        <v>1573.593887504077</v>
      </c>
      <c r="L149" s="31">
        <f t="shared" ref="L149:L160" si="7">(C149+$K$65+F149+I149)*14.25%</f>
        <v>3961.5226117915136</v>
      </c>
      <c r="M149" s="9"/>
      <c r="N149" s="9"/>
    </row>
    <row r="150" spans="2:14" x14ac:dyDescent="0.25">
      <c r="B150" s="5">
        <v>60</v>
      </c>
      <c r="C150" s="2">
        <f t="shared" si="4"/>
        <v>7008.8829309963667</v>
      </c>
      <c r="F150" s="2">
        <f t="shared" si="5"/>
        <v>1307.2913954599517</v>
      </c>
      <c r="I150" s="2">
        <f t="shared" si="6"/>
        <v>1647.1871582795388</v>
      </c>
      <c r="L150" s="31">
        <f t="shared" si="7"/>
        <v>4146.7936709687392</v>
      </c>
      <c r="M150" s="9"/>
      <c r="N150" s="9"/>
    </row>
    <row r="151" spans="2:14" x14ac:dyDescent="0.25">
      <c r="B151" s="5">
        <v>70</v>
      </c>
      <c r="C151" s="2">
        <f t="shared" si="4"/>
        <v>8177.0300861624282</v>
      </c>
      <c r="F151" s="2">
        <f t="shared" si="5"/>
        <v>1365.6987532182548</v>
      </c>
      <c r="I151" s="2">
        <f t="shared" si="6"/>
        <v>1720.7804290550007</v>
      </c>
      <c r="L151" s="31">
        <f t="shared" si="7"/>
        <v>4332.0647301459639</v>
      </c>
      <c r="M151" s="9"/>
      <c r="N151" s="9"/>
    </row>
    <row r="152" spans="2:14" x14ac:dyDescent="0.25">
      <c r="B152" s="5">
        <v>80</v>
      </c>
      <c r="C152" s="2">
        <f t="shared" si="4"/>
        <v>9345.1772413284889</v>
      </c>
      <c r="F152" s="2">
        <f t="shared" si="5"/>
        <v>1424.1061109765578</v>
      </c>
      <c r="I152" s="2">
        <f t="shared" si="6"/>
        <v>1794.3736998304626</v>
      </c>
      <c r="L152" s="31">
        <f t="shared" si="7"/>
        <v>4517.3357893231896</v>
      </c>
      <c r="M152" s="9"/>
      <c r="N152" s="9"/>
    </row>
    <row r="153" spans="2:14" x14ac:dyDescent="0.25">
      <c r="B153" s="5">
        <v>90</v>
      </c>
      <c r="C153" s="2">
        <f t="shared" si="4"/>
        <v>10513.32439649455</v>
      </c>
      <c r="F153" s="2">
        <f t="shared" si="5"/>
        <v>1482.5134687348609</v>
      </c>
      <c r="I153" s="2">
        <f t="shared" si="6"/>
        <v>1867.9669706059244</v>
      </c>
      <c r="L153" s="31">
        <f t="shared" si="7"/>
        <v>4702.6068485004143</v>
      </c>
      <c r="M153" s="9"/>
      <c r="N153" s="9"/>
    </row>
    <row r="154" spans="2:14" x14ac:dyDescent="0.25">
      <c r="B154" s="5">
        <v>100</v>
      </c>
      <c r="C154" s="2">
        <f t="shared" si="4"/>
        <v>11681.471551660612</v>
      </c>
      <c r="F154" s="2">
        <f t="shared" si="5"/>
        <v>1540.920826493164</v>
      </c>
      <c r="I154" s="2">
        <f t="shared" si="6"/>
        <v>1941.5602413813863</v>
      </c>
      <c r="L154" s="31">
        <f t="shared" si="7"/>
        <v>4887.8779076776391</v>
      </c>
      <c r="M154" s="9"/>
      <c r="N154" s="9"/>
    </row>
    <row r="155" spans="2:14" x14ac:dyDescent="0.25">
      <c r="B155" s="5">
        <v>110</v>
      </c>
      <c r="C155" s="2">
        <f t="shared" si="4"/>
        <v>12849.618706826674</v>
      </c>
      <c r="F155" s="2">
        <f t="shared" si="5"/>
        <v>1599.3281842514671</v>
      </c>
      <c r="I155" s="2">
        <f t="shared" si="6"/>
        <v>2015.1535121568484</v>
      </c>
      <c r="L155" s="31">
        <f t="shared" si="7"/>
        <v>5073.1489668548647</v>
      </c>
      <c r="M155" s="9"/>
      <c r="N155" s="9"/>
    </row>
    <row r="156" spans="2:14" x14ac:dyDescent="0.25">
      <c r="B156" s="5">
        <v>120</v>
      </c>
      <c r="C156" s="2">
        <f t="shared" si="4"/>
        <v>14017.765861992733</v>
      </c>
      <c r="F156" s="2">
        <f t="shared" si="5"/>
        <v>1657.7355420097699</v>
      </c>
      <c r="I156" s="2">
        <f t="shared" si="6"/>
        <v>2088.7467829323095</v>
      </c>
      <c r="L156" s="31">
        <f t="shared" si="7"/>
        <v>5258.4200260320886</v>
      </c>
      <c r="M156" s="9"/>
      <c r="N156" s="9"/>
    </row>
    <row r="157" spans="2:14" x14ac:dyDescent="0.25">
      <c r="B157" s="5">
        <v>130</v>
      </c>
      <c r="C157" s="2">
        <f t="shared" si="4"/>
        <v>15185.913017158795</v>
      </c>
      <c r="F157" s="2">
        <f t="shared" si="5"/>
        <v>1716.1428997680732</v>
      </c>
      <c r="I157" s="2">
        <f t="shared" si="6"/>
        <v>2162.3400537077719</v>
      </c>
      <c r="L157" s="31">
        <f t="shared" si="7"/>
        <v>5443.6910852093151</v>
      </c>
      <c r="M157" s="9"/>
      <c r="N157" s="9"/>
    </row>
    <row r="158" spans="2:14" x14ac:dyDescent="0.25">
      <c r="B158" s="5">
        <v>140</v>
      </c>
      <c r="C158" s="2">
        <f t="shared" si="4"/>
        <v>16354.060172324856</v>
      </c>
      <c r="F158" s="2">
        <f t="shared" si="5"/>
        <v>1774.5502575263761</v>
      </c>
      <c r="I158" s="2">
        <f t="shared" si="6"/>
        <v>2235.9333244832337</v>
      </c>
      <c r="L158" s="31">
        <f t="shared" si="7"/>
        <v>5628.9621443865399</v>
      </c>
      <c r="M158" s="9"/>
      <c r="N158" s="9"/>
    </row>
    <row r="159" spans="2:14" x14ac:dyDescent="0.25">
      <c r="B159" s="5">
        <v>150</v>
      </c>
      <c r="C159" s="2">
        <f t="shared" si="4"/>
        <v>17522.207327490916</v>
      </c>
      <c r="F159" s="2">
        <f t="shared" si="5"/>
        <v>1832.9576152846794</v>
      </c>
      <c r="I159" s="2">
        <f t="shared" si="6"/>
        <v>2309.5265952586956</v>
      </c>
      <c r="L159" s="31">
        <f t="shared" si="7"/>
        <v>5814.2332035637655</v>
      </c>
      <c r="M159" s="9"/>
      <c r="N159" s="9"/>
    </row>
    <row r="160" spans="2:14" x14ac:dyDescent="0.25">
      <c r="B160" s="5">
        <v>160</v>
      </c>
      <c r="C160" s="2">
        <f t="shared" si="4"/>
        <v>18690.354482656978</v>
      </c>
      <c r="F160" s="2">
        <f t="shared" si="5"/>
        <v>1891.3649730429822</v>
      </c>
      <c r="I160" s="2">
        <f t="shared" si="6"/>
        <v>2383.1198660341574</v>
      </c>
      <c r="L160" s="31">
        <f t="shared" si="7"/>
        <v>5999.5042627409903</v>
      </c>
      <c r="M160" s="9"/>
      <c r="N160" s="9"/>
    </row>
  </sheetData>
  <mergeCells count="121">
    <mergeCell ref="B116:D116"/>
    <mergeCell ref="F116:G116"/>
    <mergeCell ref="L116:N116"/>
    <mergeCell ref="P116:Q116"/>
    <mergeCell ref="B122:C125"/>
    <mergeCell ref="B143:C146"/>
    <mergeCell ref="B113:D113"/>
    <mergeCell ref="L113:N113"/>
    <mergeCell ref="B114:D114"/>
    <mergeCell ref="L114:N114"/>
    <mergeCell ref="B115:C115"/>
    <mergeCell ref="L115:M115"/>
    <mergeCell ref="L109:M109"/>
    <mergeCell ref="P109:Q109"/>
    <mergeCell ref="F110:G110"/>
    <mergeCell ref="P110:Q110"/>
    <mergeCell ref="B112:D112"/>
    <mergeCell ref="F112:G112"/>
    <mergeCell ref="L112:N112"/>
    <mergeCell ref="P112:Q112"/>
    <mergeCell ref="B101:D101"/>
    <mergeCell ref="B102:D102"/>
    <mergeCell ref="B103:C103"/>
    <mergeCell ref="B104:D104"/>
    <mergeCell ref="F104:G104"/>
    <mergeCell ref="B109:C109"/>
    <mergeCell ref="F109:G109"/>
    <mergeCell ref="D95:E95"/>
    <mergeCell ref="B97:C97"/>
    <mergeCell ref="F97:G97"/>
    <mergeCell ref="F98:G98"/>
    <mergeCell ref="B100:D100"/>
    <mergeCell ref="F100:G100"/>
    <mergeCell ref="A79:J79"/>
    <mergeCell ref="A82:I82"/>
    <mergeCell ref="A84:H84"/>
    <mergeCell ref="A85:J85"/>
    <mergeCell ref="A89:J89"/>
    <mergeCell ref="A90:J90"/>
    <mergeCell ref="A74:E74"/>
    <mergeCell ref="A75:F75"/>
    <mergeCell ref="I75:J75"/>
    <mergeCell ref="I76:J76"/>
    <mergeCell ref="I77:J77"/>
    <mergeCell ref="I78:J78"/>
    <mergeCell ref="A65:J65"/>
    <mergeCell ref="A67:I67"/>
    <mergeCell ref="A69:E69"/>
    <mergeCell ref="I69:J69"/>
    <mergeCell ref="C70:F70"/>
    <mergeCell ref="C71:F71"/>
    <mergeCell ref="C54:F54"/>
    <mergeCell ref="C55:F55"/>
    <mergeCell ref="C58:F58"/>
    <mergeCell ref="C60:G60"/>
    <mergeCell ref="C62:E62"/>
    <mergeCell ref="C63:F63"/>
    <mergeCell ref="A49:E49"/>
    <mergeCell ref="H50:I50"/>
    <mergeCell ref="C51:F51"/>
    <mergeCell ref="H51:I51"/>
    <mergeCell ref="C52:F52"/>
    <mergeCell ref="C53:F53"/>
    <mergeCell ref="B41:D41"/>
    <mergeCell ref="F41:H41"/>
    <mergeCell ref="A42:E42"/>
    <mergeCell ref="A43:J43"/>
    <mergeCell ref="A45:J45"/>
    <mergeCell ref="A47:J47"/>
    <mergeCell ref="A36:E36"/>
    <mergeCell ref="B37:D37"/>
    <mergeCell ref="E37:F37"/>
    <mergeCell ref="B38:D38"/>
    <mergeCell ref="B39:D39"/>
    <mergeCell ref="B40:D40"/>
    <mergeCell ref="A28:D28"/>
    <mergeCell ref="E28:F28"/>
    <mergeCell ref="A31:F31"/>
    <mergeCell ref="A32:D32"/>
    <mergeCell ref="E32:F32"/>
    <mergeCell ref="A33:D33"/>
    <mergeCell ref="A25:D25"/>
    <mergeCell ref="E25:F25"/>
    <mergeCell ref="A26:D26"/>
    <mergeCell ref="E26:F26"/>
    <mergeCell ref="A27:D27"/>
    <mergeCell ref="E27:F27"/>
    <mergeCell ref="K18:N18"/>
    <mergeCell ref="A19:F19"/>
    <mergeCell ref="A20:F20"/>
    <mergeCell ref="A23:F23"/>
    <mergeCell ref="A24:D24"/>
    <mergeCell ref="E24:F24"/>
    <mergeCell ref="A16:D16"/>
    <mergeCell ref="E16:F16"/>
    <mergeCell ref="K16:N17"/>
    <mergeCell ref="H21:N22"/>
    <mergeCell ref="O16:O17"/>
    <mergeCell ref="P16:P17"/>
    <mergeCell ref="T17:V17"/>
    <mergeCell ref="A14:D14"/>
    <mergeCell ref="E14:F14"/>
    <mergeCell ref="K14:N15"/>
    <mergeCell ref="O14:O15"/>
    <mergeCell ref="P14:P15"/>
    <mergeCell ref="E15:F15"/>
    <mergeCell ref="A11:F11"/>
    <mergeCell ref="K11:N11"/>
    <mergeCell ref="A12:C12"/>
    <mergeCell ref="E12:F12"/>
    <mergeCell ref="K12:N12"/>
    <mergeCell ref="A13:D13"/>
    <mergeCell ref="E13:F13"/>
    <mergeCell ref="K13:N13"/>
    <mergeCell ref="C2:F6"/>
    <mergeCell ref="H3:P5"/>
    <mergeCell ref="F7:H7"/>
    <mergeCell ref="K7:N7"/>
    <mergeCell ref="B8:C8"/>
    <mergeCell ref="I9:P9"/>
    <mergeCell ref="A9:F9"/>
  </mergeCells>
  <conditionalFormatting sqref="P19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{474B4086-2A16-4887-B3E4-8F231F6645E0}</x14:id>
        </ext>
      </extLst>
    </cfRule>
  </conditionalFormatting>
  <dataValidations disablePrompts="1" count="3">
    <dataValidation type="list" allowBlank="1" showInputMessage="1" showErrorMessage="1" sqref="F7:H7 T17:V17">
      <formula1>$Q$119:$Q$122</formula1>
    </dataValidation>
    <dataValidation type="list" allowBlank="1" showInputMessage="1" showErrorMessage="1" sqref="L51">
      <formula1>"LINEAR, MÉTODO COLE"</formula1>
    </dataValidation>
    <dataValidation type="list" allowBlank="1" showInputMessage="1" showErrorMessage="1" sqref="E15:F15">
      <formula1>"0,1,2,3,4,5,6,7,8,9,10,11,12,13,14,15"</formula1>
    </dataValidation>
  </dataValidations>
  <pageMargins left="0.51181102362204722" right="0.51181102362204722" top="0.78740157480314965" bottom="0.78740157480314965" header="0.31496062992125984" footer="0.31496062992125984"/>
  <pageSetup paperSize="9" scale="50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74B4086-2A16-4887-B3E4-8F231F6645E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P19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34">
    <tabColor rgb="FF0070C0"/>
  </sheetPr>
  <dimension ref="A2:V160"/>
  <sheetViews>
    <sheetView tabSelected="1" view="pageBreakPreview" topLeftCell="A53" zoomScale="85" zoomScaleNormal="100" zoomScaleSheetLayoutView="85" workbookViewId="0">
      <selection activeCell="A57" sqref="A57"/>
    </sheetView>
  </sheetViews>
  <sheetFormatPr defaultColWidth="8.85546875" defaultRowHeight="15" x14ac:dyDescent="0.25"/>
  <cols>
    <col min="2" max="2" width="14.140625" customWidth="1"/>
    <col min="3" max="3" width="15.28515625" customWidth="1"/>
    <col min="5" max="5" width="12.42578125" customWidth="1"/>
    <col min="6" max="6" width="13.5703125" customWidth="1"/>
    <col min="7" max="7" width="12.140625" customWidth="1"/>
    <col min="9" max="9" width="10.7109375" customWidth="1"/>
    <col min="10" max="10" width="12.140625" bestFit="1" customWidth="1"/>
    <col min="11" max="11" width="16.42578125" bestFit="1" customWidth="1"/>
    <col min="12" max="12" width="14.42578125" customWidth="1"/>
    <col min="14" max="14" width="6.42578125" customWidth="1"/>
    <col min="15" max="15" width="9" customWidth="1"/>
    <col min="16" max="16" width="10.42578125" customWidth="1"/>
    <col min="17" max="17" width="15.140625" customWidth="1"/>
    <col min="18" max="18" width="14.7109375" bestFit="1" customWidth="1"/>
    <col min="19" max="19" width="19.42578125" bestFit="1" customWidth="1"/>
  </cols>
  <sheetData>
    <row r="2" spans="1:19" x14ac:dyDescent="0.25">
      <c r="C2" s="239" t="s">
        <v>151</v>
      </c>
      <c r="D2" s="240"/>
      <c r="E2" s="240"/>
      <c r="F2" s="240"/>
    </row>
    <row r="3" spans="1:19" x14ac:dyDescent="0.25">
      <c r="C3" s="240"/>
      <c r="D3" s="240"/>
      <c r="E3" s="240"/>
      <c r="F3" s="240"/>
      <c r="H3" s="241" t="s">
        <v>64</v>
      </c>
      <c r="I3" s="239"/>
      <c r="J3" s="239"/>
      <c r="K3" s="239"/>
      <c r="L3" s="239"/>
      <c r="M3" s="239"/>
      <c r="N3" s="239"/>
      <c r="O3" s="239"/>
      <c r="P3" s="239"/>
    </row>
    <row r="4" spans="1:19" x14ac:dyDescent="0.25">
      <c r="C4" s="240"/>
      <c r="D4" s="240"/>
      <c r="E4" s="240"/>
      <c r="F4" s="240"/>
      <c r="H4" s="239"/>
      <c r="I4" s="239"/>
      <c r="J4" s="239"/>
      <c r="K4" s="239"/>
      <c r="L4" s="239"/>
      <c r="M4" s="239"/>
      <c r="N4" s="239"/>
      <c r="O4" s="239"/>
      <c r="P4" s="239"/>
    </row>
    <row r="5" spans="1:19" x14ac:dyDescent="0.25">
      <c r="C5" s="240"/>
      <c r="D5" s="240"/>
      <c r="E5" s="240"/>
      <c r="F5" s="240"/>
      <c r="H5" s="239"/>
      <c r="I5" s="239"/>
      <c r="J5" s="239"/>
      <c r="K5" s="239"/>
      <c r="L5" s="239"/>
      <c r="M5" s="239"/>
      <c r="N5" s="239"/>
      <c r="O5" s="239"/>
      <c r="P5" s="239"/>
    </row>
    <row r="6" spans="1:19" x14ac:dyDescent="0.25">
      <c r="C6" s="240"/>
      <c r="D6" s="240"/>
      <c r="E6" s="240"/>
      <c r="F6" s="240"/>
    </row>
    <row r="7" spans="1:19" ht="21" x14ac:dyDescent="0.35">
      <c r="E7" s="18" t="s">
        <v>80</v>
      </c>
      <c r="F7" s="235" t="s">
        <v>65</v>
      </c>
      <c r="G7" s="235"/>
      <c r="H7" s="235"/>
      <c r="K7" s="242" t="s">
        <v>286</v>
      </c>
      <c r="L7" s="243"/>
      <c r="M7" s="243"/>
      <c r="N7" s="243"/>
    </row>
    <row r="8" spans="1:19" ht="15.75" x14ac:dyDescent="0.25">
      <c r="B8" s="194"/>
      <c r="C8" s="194"/>
      <c r="D8" s="8"/>
      <c r="E8" s="8"/>
      <c r="F8" s="8"/>
      <c r="J8" s="9"/>
    </row>
    <row r="9" spans="1:19" ht="21" x14ac:dyDescent="0.35">
      <c r="A9" s="235" t="s">
        <v>352</v>
      </c>
      <c r="B9" s="235"/>
      <c r="C9" s="235"/>
      <c r="D9" s="235"/>
      <c r="E9" s="235"/>
      <c r="F9" s="235"/>
      <c r="I9" s="244" t="s">
        <v>157</v>
      </c>
      <c r="J9" s="244"/>
      <c r="K9" s="244"/>
      <c r="L9" s="244"/>
      <c r="M9" s="244"/>
      <c r="N9" s="244"/>
      <c r="O9" s="244"/>
      <c r="P9" s="244"/>
      <c r="R9" s="9" t="s">
        <v>155</v>
      </c>
      <c r="S9" s="9" t="s">
        <v>156</v>
      </c>
    </row>
    <row r="10" spans="1:19" x14ac:dyDescent="0.25">
      <c r="R10" s="2">
        <f>K43</f>
        <v>4393.2050722883068</v>
      </c>
      <c r="S10" s="43">
        <f>K45</f>
        <v>7925.5039118854238</v>
      </c>
    </row>
    <row r="11" spans="1:19" ht="17.25" x14ac:dyDescent="0.3">
      <c r="A11" s="236" t="s">
        <v>150</v>
      </c>
      <c r="B11" s="237"/>
      <c r="C11" s="237"/>
      <c r="D11" s="237"/>
      <c r="E11" s="237"/>
      <c r="F11" s="238"/>
      <c r="G11" s="40" t="s">
        <v>0</v>
      </c>
      <c r="K11" s="206" t="s">
        <v>15</v>
      </c>
      <c r="L11" s="206"/>
      <c r="M11" s="206"/>
      <c r="N11" s="206"/>
      <c r="O11" s="161">
        <f>O12+O13</f>
        <v>111.4</v>
      </c>
      <c r="P11" s="47" t="s">
        <v>14</v>
      </c>
      <c r="R11" s="130">
        <f>K65/O18*O14</f>
        <v>7455.5063918671049</v>
      </c>
      <c r="S11" s="130">
        <f>K65/O18*O16</f>
        <v>11681.438586335556</v>
      </c>
    </row>
    <row r="12" spans="1:19" ht="15.75" x14ac:dyDescent="0.25">
      <c r="A12" s="214" t="s">
        <v>107</v>
      </c>
      <c r="B12" s="215"/>
      <c r="C12" s="215"/>
      <c r="D12" s="48"/>
      <c r="E12" s="218">
        <f>Insumos!$B$4</f>
        <v>531068.38</v>
      </c>
      <c r="F12" s="218"/>
      <c r="G12" s="1"/>
      <c r="K12" s="206" t="s">
        <v>136</v>
      </c>
      <c r="L12" s="206"/>
      <c r="M12" s="206"/>
      <c r="N12" s="206"/>
      <c r="O12" s="151">
        <v>43.4</v>
      </c>
      <c r="P12" s="47" t="s">
        <v>14</v>
      </c>
      <c r="R12" s="2">
        <f>K72/O18*O14</f>
        <v>829.20311530901495</v>
      </c>
      <c r="S12" s="2">
        <f>K72/O18*O16</f>
        <v>1299.2122544012216</v>
      </c>
    </row>
    <row r="13" spans="1:19" ht="15.75" x14ac:dyDescent="0.25">
      <c r="A13" s="214" t="s">
        <v>285</v>
      </c>
      <c r="B13" s="215"/>
      <c r="C13" s="215"/>
      <c r="D13" s="216"/>
      <c r="E13" s="198">
        <f>'DEPRECIAÇÃO LINEAR'!D15</f>
        <v>10</v>
      </c>
      <c r="F13" s="198"/>
      <c r="K13" s="206" t="s">
        <v>137</v>
      </c>
      <c r="L13" s="206"/>
      <c r="M13" s="206"/>
      <c r="N13" s="206"/>
      <c r="O13" s="151">
        <v>68</v>
      </c>
      <c r="P13" s="47" t="s">
        <v>14</v>
      </c>
      <c r="R13" s="2">
        <f>K79/O18*O14</f>
        <v>1238.9261288097882</v>
      </c>
      <c r="S13" s="2">
        <f>K79/O18*O16</f>
        <v>1941.1745797019726</v>
      </c>
    </row>
    <row r="14" spans="1:19" ht="15" customHeight="1" x14ac:dyDescent="0.25">
      <c r="A14" s="214" t="s">
        <v>23</v>
      </c>
      <c r="B14" s="215"/>
      <c r="C14" s="215"/>
      <c r="D14" s="216"/>
      <c r="E14" s="219">
        <v>2026</v>
      </c>
      <c r="F14" s="220"/>
      <c r="K14" s="223" t="s">
        <v>138</v>
      </c>
      <c r="L14" s="223"/>
      <c r="M14" s="223"/>
      <c r="N14" s="223"/>
      <c r="O14" s="232">
        <f>O12*21</f>
        <v>911.4</v>
      </c>
      <c r="P14" s="234" t="s">
        <v>14</v>
      </c>
      <c r="R14" s="2">
        <f>SUM(R10:R13)</f>
        <v>13916.840708274214</v>
      </c>
      <c r="S14" s="2">
        <f>SUM(S10:S13)</f>
        <v>22847.329332324174</v>
      </c>
    </row>
    <row r="15" spans="1:19" ht="15.75" customHeight="1" x14ac:dyDescent="0.25">
      <c r="A15" s="49" t="s">
        <v>79</v>
      </c>
      <c r="B15" s="48"/>
      <c r="C15" s="48"/>
      <c r="D15" s="48"/>
      <c r="E15" s="198">
        <v>0</v>
      </c>
      <c r="F15" s="198"/>
      <c r="G15" s="41" t="s">
        <v>128</v>
      </c>
      <c r="I15" s="28"/>
      <c r="J15" s="28"/>
      <c r="K15" s="223"/>
      <c r="L15" s="223"/>
      <c r="M15" s="223"/>
      <c r="N15" s="223"/>
      <c r="O15" s="233"/>
      <c r="P15" s="234"/>
      <c r="R15" s="31">
        <f>IFERROR(R14/O14,0)</f>
        <v>15.269739640414983</v>
      </c>
      <c r="S15" s="31">
        <f>IFERROR(S14/O16,0)</f>
        <v>15.999530344764828</v>
      </c>
    </row>
    <row r="16" spans="1:19" ht="15" customHeight="1" x14ac:dyDescent="0.25">
      <c r="A16" s="214" t="s">
        <v>84</v>
      </c>
      <c r="B16" s="215"/>
      <c r="C16" s="215"/>
      <c r="D16" s="215"/>
      <c r="E16" s="198" t="str">
        <f>IF($F$7=$D$95,F104,IF($F$7=$D$107,F116,IF($F$7=$N$95,Q104,IF($F$7=$O$107,P116,""))))</f>
        <v>ATÉ 59 ALUNOS</v>
      </c>
      <c r="F16" s="198"/>
      <c r="I16" s="28"/>
      <c r="J16" s="28"/>
      <c r="K16" s="223" t="s">
        <v>139</v>
      </c>
      <c r="L16" s="223"/>
      <c r="M16" s="223"/>
      <c r="N16" s="223"/>
      <c r="O16" s="232">
        <f>O13*21</f>
        <v>1428</v>
      </c>
      <c r="P16" s="234" t="s">
        <v>14</v>
      </c>
    </row>
    <row r="17" spans="1:22" ht="15" customHeight="1" x14ac:dyDescent="0.35">
      <c r="I17" s="28"/>
      <c r="J17" s="28"/>
      <c r="K17" s="223"/>
      <c r="L17" s="223"/>
      <c r="M17" s="223"/>
      <c r="N17" s="223"/>
      <c r="O17" s="233"/>
      <c r="P17" s="234"/>
      <c r="R17" s="2">
        <f>R14+S14</f>
        <v>36764.170040598387</v>
      </c>
      <c r="T17" s="235"/>
      <c r="U17" s="235"/>
      <c r="V17" s="235"/>
    </row>
    <row r="18" spans="1:22" ht="15" customHeight="1" x14ac:dyDescent="0.25">
      <c r="I18" s="28"/>
      <c r="J18" s="28"/>
      <c r="K18" s="223" t="s">
        <v>140</v>
      </c>
      <c r="L18" s="223"/>
      <c r="M18" s="223"/>
      <c r="N18" s="223"/>
      <c r="O18" s="46">
        <f>O16+O14</f>
        <v>2339.4</v>
      </c>
      <c r="P18" s="47" t="s">
        <v>14</v>
      </c>
      <c r="R18" s="2">
        <f>R17/O18</f>
        <v>15.715213319910397</v>
      </c>
    </row>
    <row r="19" spans="1:22" ht="15.75" customHeight="1" x14ac:dyDescent="0.3">
      <c r="A19" s="224" t="s">
        <v>1</v>
      </c>
      <c r="B19" s="225"/>
      <c r="C19" s="225"/>
      <c r="D19" s="225"/>
      <c r="E19" s="225"/>
      <c r="F19" s="225"/>
      <c r="I19" s="29"/>
      <c r="J19" s="29"/>
      <c r="K19" s="29"/>
      <c r="L19" s="29"/>
      <c r="M19" s="29"/>
    </row>
    <row r="20" spans="1:22" ht="15" customHeight="1" thickBot="1" x14ac:dyDescent="0.3">
      <c r="A20" s="206" t="s">
        <v>106</v>
      </c>
      <c r="B20" s="206"/>
      <c r="C20" s="206"/>
      <c r="D20" s="206"/>
      <c r="E20" s="206"/>
      <c r="F20" s="206"/>
      <c r="I20" s="28"/>
      <c r="J20" s="28"/>
      <c r="K20" s="28"/>
      <c r="L20" s="28"/>
      <c r="M20" s="28"/>
      <c r="O20" s="93">
        <f>K90</f>
        <v>15.715213319910401</v>
      </c>
      <c r="R20" s="93">
        <f>K90</f>
        <v>15.715213319910401</v>
      </c>
    </row>
    <row r="21" spans="1:22" x14ac:dyDescent="0.25">
      <c r="H21" s="226" t="s">
        <v>303</v>
      </c>
      <c r="I21" s="227"/>
      <c r="J21" s="227"/>
      <c r="K21" s="227"/>
      <c r="L21" s="227"/>
      <c r="M21" s="227"/>
      <c r="N21" s="228"/>
      <c r="O21" s="2"/>
    </row>
    <row r="22" spans="1:22" ht="15.75" thickBot="1" x14ac:dyDescent="0.3">
      <c r="H22" s="229"/>
      <c r="I22" s="230"/>
      <c r="J22" s="230"/>
      <c r="K22" s="230"/>
      <c r="L22" s="230"/>
      <c r="M22" s="230"/>
      <c r="N22" s="231"/>
    </row>
    <row r="23" spans="1:22" ht="17.25" x14ac:dyDescent="0.3">
      <c r="A23" s="224" t="s">
        <v>2</v>
      </c>
      <c r="B23" s="225"/>
      <c r="C23" s="225"/>
      <c r="D23" s="225"/>
      <c r="E23" s="225"/>
      <c r="F23" s="225"/>
      <c r="L23" s="2"/>
    </row>
    <row r="24" spans="1:22" ht="15.75" x14ac:dyDescent="0.25">
      <c r="A24" s="214" t="s">
        <v>11</v>
      </c>
      <c r="B24" s="215"/>
      <c r="C24" s="215"/>
      <c r="D24" s="215"/>
      <c r="E24" s="198">
        <f>IF($F$7=$D$95,F100,IF($F$7=$D$107,F112,IF($F$7=$N$95,Q100,IF($F$7=$O$107,P112,""))))</f>
        <v>6</v>
      </c>
      <c r="F24" s="198"/>
    </row>
    <row r="25" spans="1:22" ht="15.75" x14ac:dyDescent="0.25">
      <c r="A25" s="214" t="s">
        <v>9</v>
      </c>
      <c r="B25" s="215"/>
      <c r="C25" s="215"/>
      <c r="D25" s="216"/>
      <c r="E25" s="218">
        <f>Insumos!$B$5</f>
        <v>2453.2399999999998</v>
      </c>
      <c r="F25" s="218"/>
    </row>
    <row r="26" spans="1:22" ht="15.75" x14ac:dyDescent="0.25">
      <c r="A26" s="214" t="s">
        <v>147</v>
      </c>
      <c r="B26" s="215"/>
      <c r="C26" s="215"/>
      <c r="D26" s="216"/>
      <c r="E26" s="219">
        <v>2</v>
      </c>
      <c r="F26" s="220"/>
    </row>
    <row r="27" spans="1:22" ht="15.75" x14ac:dyDescent="0.25">
      <c r="A27" s="214" t="s">
        <v>148</v>
      </c>
      <c r="B27" s="215"/>
      <c r="C27" s="215"/>
      <c r="D27" s="216"/>
      <c r="E27" s="221">
        <f>Insumos!$B$6</f>
        <v>975.83</v>
      </c>
      <c r="F27" s="222"/>
    </row>
    <row r="28" spans="1:22" ht="15.75" x14ac:dyDescent="0.25">
      <c r="A28" s="214" t="s">
        <v>149</v>
      </c>
      <c r="B28" s="215"/>
      <c r="C28" s="215"/>
      <c r="D28" s="216"/>
      <c r="E28" s="217">
        <v>100000</v>
      </c>
      <c r="F28" s="217"/>
    </row>
    <row r="31" spans="1:22" ht="15.75" x14ac:dyDescent="0.25">
      <c r="A31" s="191" t="s">
        <v>3</v>
      </c>
      <c r="B31" s="192"/>
      <c r="C31" s="192"/>
      <c r="D31" s="192"/>
      <c r="E31" s="192"/>
      <c r="F31" s="192"/>
    </row>
    <row r="32" spans="1:22" ht="15.75" x14ac:dyDescent="0.25">
      <c r="A32" s="214" t="s">
        <v>19</v>
      </c>
      <c r="B32" s="215"/>
      <c r="C32" s="215"/>
      <c r="D32" s="216"/>
      <c r="E32" s="218">
        <f>Insumos!$B$7</f>
        <v>7.6</v>
      </c>
      <c r="F32" s="218"/>
    </row>
    <row r="33" spans="1:14" ht="15.75" x14ac:dyDescent="0.25">
      <c r="A33" s="214" t="s">
        <v>17</v>
      </c>
      <c r="B33" s="215"/>
      <c r="C33" s="215"/>
      <c r="D33" s="216"/>
      <c r="E33" s="46">
        <f>IF($F$7=$D$95,G103,IF($F$7=$D$107,G115,IF($F$7=$N$95,Q103,IF($F$7=$O$107,Q115,""))))</f>
        <v>2.6</v>
      </c>
      <c r="F33" s="50" t="s">
        <v>18</v>
      </c>
    </row>
    <row r="36" spans="1:14" ht="17.25" x14ac:dyDescent="0.3">
      <c r="A36" s="208" t="s">
        <v>20</v>
      </c>
      <c r="B36" s="209"/>
      <c r="C36" s="209"/>
      <c r="D36" s="209"/>
      <c r="E36" s="209"/>
    </row>
    <row r="37" spans="1:14" x14ac:dyDescent="0.25">
      <c r="B37" s="210"/>
      <c r="C37" s="210"/>
      <c r="D37" s="211"/>
      <c r="E37" s="212" t="s">
        <v>4</v>
      </c>
      <c r="F37" s="213"/>
    </row>
    <row r="38" spans="1:14" ht="15.75" x14ac:dyDescent="0.25">
      <c r="A38" s="46" t="s">
        <v>346</v>
      </c>
      <c r="B38" s="214" t="s">
        <v>52</v>
      </c>
      <c r="C38" s="215"/>
      <c r="D38" s="216"/>
      <c r="E38" s="46">
        <f>1/E33</f>
        <v>0.38461538461538458</v>
      </c>
      <c r="F38" s="7" t="s">
        <v>5</v>
      </c>
      <c r="G38" s="7"/>
      <c r="H38" s="7"/>
      <c r="I38" s="7"/>
      <c r="J38" s="7"/>
      <c r="K38" s="58">
        <f>E32*E38</f>
        <v>2.9230769230769225</v>
      </c>
      <c r="L38" s="51" t="s">
        <v>13</v>
      </c>
      <c r="N38" s="2"/>
    </row>
    <row r="39" spans="1:14" ht="15.75" x14ac:dyDescent="0.25">
      <c r="A39" s="46" t="s">
        <v>6</v>
      </c>
      <c r="B39" s="206" t="s">
        <v>152</v>
      </c>
      <c r="C39" s="206"/>
      <c r="D39" s="206"/>
      <c r="E39" s="46">
        <v>0.04</v>
      </c>
      <c r="F39" s="7" t="s">
        <v>5</v>
      </c>
      <c r="G39" s="7"/>
      <c r="H39" s="7"/>
      <c r="I39" s="7"/>
      <c r="J39" s="7"/>
      <c r="K39" s="58">
        <f>E39*E32</f>
        <v>0.30399999999999999</v>
      </c>
      <c r="L39" s="51" t="s">
        <v>13</v>
      </c>
    </row>
    <row r="40" spans="1:14" ht="15.75" x14ac:dyDescent="0.25">
      <c r="A40" s="46" t="s">
        <v>7</v>
      </c>
      <c r="B40" s="206" t="s">
        <v>8</v>
      </c>
      <c r="C40" s="206"/>
      <c r="D40" s="206"/>
      <c r="E40" s="46"/>
      <c r="F40" s="7"/>
      <c r="G40" s="7"/>
      <c r="H40" s="7"/>
      <c r="I40" s="7"/>
      <c r="J40" s="7"/>
      <c r="K40" s="58">
        <f>((E25*E24)+(E26*E24*E27))/E28</f>
        <v>0.26429400000000003</v>
      </c>
      <c r="L40" s="51" t="s">
        <v>13</v>
      </c>
    </row>
    <row r="41" spans="1:14" ht="15.75" x14ac:dyDescent="0.25">
      <c r="A41" s="46" t="s">
        <v>12</v>
      </c>
      <c r="B41" s="206" t="s">
        <v>153</v>
      </c>
      <c r="C41" s="206"/>
      <c r="D41" s="206"/>
      <c r="E41" s="70">
        <v>3.0000000000000001E-6</v>
      </c>
      <c r="F41" s="193" t="s">
        <v>10</v>
      </c>
      <c r="G41" s="193"/>
      <c r="H41" s="193"/>
      <c r="I41" s="7"/>
      <c r="J41" s="7"/>
      <c r="K41" s="58">
        <f>(E41*E12)-(K40)</f>
        <v>1.32891114</v>
      </c>
      <c r="L41" s="51" t="s">
        <v>13</v>
      </c>
    </row>
    <row r="42" spans="1:14" ht="15.75" x14ac:dyDescent="0.25">
      <c r="A42" s="207"/>
      <c r="B42" s="207"/>
      <c r="C42" s="207"/>
      <c r="D42" s="207"/>
      <c r="E42" s="207"/>
      <c r="F42" s="7"/>
      <c r="G42" s="7"/>
      <c r="H42" s="7"/>
      <c r="I42" s="7"/>
      <c r="J42" s="7"/>
      <c r="K42" s="58">
        <f>SUM(K38:K41)</f>
        <v>4.8202820630769221</v>
      </c>
      <c r="L42" s="51" t="s">
        <v>13</v>
      </c>
    </row>
    <row r="43" spans="1:14" ht="21" customHeight="1" x14ac:dyDescent="0.25">
      <c r="A43" s="200" t="s">
        <v>144</v>
      </c>
      <c r="B43" s="200"/>
      <c r="C43" s="200"/>
      <c r="D43" s="200"/>
      <c r="E43" s="200"/>
      <c r="F43" s="200"/>
      <c r="G43" s="200"/>
      <c r="H43" s="200"/>
      <c r="I43" s="200"/>
      <c r="J43" s="200"/>
      <c r="K43" s="68">
        <f>K42*O14</f>
        <v>4393.2050722883068</v>
      </c>
      <c r="L43" s="52" t="s">
        <v>16</v>
      </c>
    </row>
    <row r="45" spans="1:14" ht="18.75" x14ac:dyDescent="0.3">
      <c r="A45" s="190" t="s">
        <v>145</v>
      </c>
      <c r="B45" s="190"/>
      <c r="C45" s="190"/>
      <c r="D45" s="190"/>
      <c r="E45" s="190"/>
      <c r="F45" s="190"/>
      <c r="G45" s="190"/>
      <c r="H45" s="190"/>
      <c r="I45" s="190"/>
      <c r="J45" s="190"/>
      <c r="K45" s="65">
        <f>K42*O16*1.1514</f>
        <v>7925.5039118854238</v>
      </c>
      <c r="L45" s="53" t="s">
        <v>16</v>
      </c>
    </row>
    <row r="46" spans="1:14" ht="15.75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</row>
    <row r="47" spans="1:14" ht="18.75" x14ac:dyDescent="0.3">
      <c r="A47" s="190" t="s">
        <v>146</v>
      </c>
      <c r="B47" s="190"/>
      <c r="C47" s="190"/>
      <c r="D47" s="190"/>
      <c r="E47" s="190"/>
      <c r="F47" s="190"/>
      <c r="G47" s="190"/>
      <c r="H47" s="190"/>
      <c r="I47" s="190"/>
      <c r="J47" s="190"/>
      <c r="K47" s="65">
        <f>K43+K45</f>
        <v>12318.708984173731</v>
      </c>
      <c r="L47" s="54" t="s">
        <v>16</v>
      </c>
    </row>
    <row r="49" spans="1:12" ht="15.75" x14ac:dyDescent="0.25">
      <c r="A49" s="197" t="s">
        <v>21</v>
      </c>
      <c r="B49" s="204"/>
      <c r="C49" s="204"/>
      <c r="D49" s="204"/>
      <c r="E49" s="204"/>
      <c r="F49" s="7"/>
      <c r="G49" s="7"/>
      <c r="H49" s="7"/>
      <c r="I49" s="7"/>
      <c r="J49" s="7"/>
      <c r="K49" s="7"/>
      <c r="L49" s="7"/>
    </row>
    <row r="50" spans="1:12" ht="15.75" x14ac:dyDescent="0.25">
      <c r="A50" s="3"/>
      <c r="B50" s="45"/>
      <c r="C50" s="45"/>
      <c r="D50" s="45"/>
      <c r="E50" s="45"/>
      <c r="F50" s="7"/>
      <c r="G50" s="7"/>
      <c r="H50" s="205" t="s">
        <v>25</v>
      </c>
      <c r="I50" s="205"/>
      <c r="J50" s="7"/>
      <c r="K50" s="7"/>
      <c r="L50" s="7"/>
    </row>
    <row r="51" spans="1:12" ht="15.75" x14ac:dyDescent="0.25">
      <c r="A51" s="7" t="s">
        <v>22</v>
      </c>
      <c r="B51" s="7"/>
      <c r="C51" s="193" t="s">
        <v>24</v>
      </c>
      <c r="D51" s="193"/>
      <c r="E51" s="193"/>
      <c r="F51" s="193"/>
      <c r="G51" s="7"/>
      <c r="H51" s="195"/>
      <c r="I51" s="195"/>
      <c r="J51" s="58"/>
      <c r="K51" s="59">
        <f>IF(L51="LINEAR",'DEPRECIAÇÃO LINEAR'!H23,(VLOOKUP(E15,'DEPRECIAÇÃO LINEAR'!W12:AM25,17,0)))</f>
        <v>3983.0128500000005</v>
      </c>
      <c r="L51" s="55" t="s">
        <v>130</v>
      </c>
    </row>
    <row r="52" spans="1:12" ht="15.75" x14ac:dyDescent="0.25">
      <c r="A52" s="7" t="s">
        <v>26</v>
      </c>
      <c r="B52" s="7"/>
      <c r="C52" s="193" t="s">
        <v>27</v>
      </c>
      <c r="D52" s="193"/>
      <c r="E52" s="193"/>
      <c r="F52" s="193"/>
      <c r="G52" s="7"/>
      <c r="H52" s="7"/>
      <c r="I52" s="7"/>
      <c r="J52" s="58"/>
      <c r="K52" s="58"/>
      <c r="L52" s="7"/>
    </row>
    <row r="53" spans="1:12" ht="15.75" x14ac:dyDescent="0.25">
      <c r="A53" s="7"/>
      <c r="B53" s="7" t="s">
        <v>31</v>
      </c>
      <c r="C53" s="193" t="s">
        <v>28</v>
      </c>
      <c r="D53" s="193"/>
      <c r="E53" s="193"/>
      <c r="F53" s="193"/>
      <c r="G53" s="7"/>
      <c r="H53" s="7"/>
      <c r="I53" s="7"/>
      <c r="J53" s="58"/>
      <c r="K53" s="58">
        <f>'Motorista de Veiculo Pesado'!E90</f>
        <v>8468.4608078400015</v>
      </c>
      <c r="L53" s="7"/>
    </row>
    <row r="54" spans="1:12" ht="15.75" x14ac:dyDescent="0.25">
      <c r="A54" s="7"/>
      <c r="B54" s="7" t="s">
        <v>32</v>
      </c>
      <c r="C54" s="193" t="s">
        <v>29</v>
      </c>
      <c r="D54" s="193"/>
      <c r="E54" s="193"/>
      <c r="F54" s="193"/>
      <c r="G54" s="7"/>
      <c r="H54" s="7"/>
      <c r="I54" s="7"/>
      <c r="J54" s="58"/>
      <c r="K54" s="58">
        <f>'Monitor de Transporte Escolar'!E90</f>
        <v>4485.726463695999</v>
      </c>
      <c r="L54" s="7"/>
    </row>
    <row r="55" spans="1:12" ht="15.75" x14ac:dyDescent="0.25">
      <c r="A55" s="7" t="s">
        <v>30</v>
      </c>
      <c r="B55" s="7"/>
      <c r="C55" s="193" t="s">
        <v>34</v>
      </c>
      <c r="D55" s="193"/>
      <c r="E55" s="193"/>
      <c r="F55" s="193"/>
      <c r="G55" s="7"/>
      <c r="H55" s="7"/>
      <c r="I55" s="7"/>
      <c r="J55" s="58"/>
      <c r="K55" s="58"/>
      <c r="L55" s="56"/>
    </row>
    <row r="56" spans="1:12" ht="15.75" x14ac:dyDescent="0.25">
      <c r="A56" s="7"/>
      <c r="B56" s="7" t="s">
        <v>33</v>
      </c>
      <c r="C56" s="7" t="s">
        <v>35</v>
      </c>
      <c r="D56" s="7"/>
      <c r="E56" s="7"/>
      <c r="F56" s="7"/>
      <c r="G56" s="7"/>
      <c r="H56" s="7"/>
      <c r="I56" s="7"/>
      <c r="J56" s="58">
        <f>1/100*E12</f>
        <v>5310.6837999999998</v>
      </c>
      <c r="K56" s="58">
        <f>J56/12</f>
        <v>442.55698333333333</v>
      </c>
      <c r="L56" s="7"/>
    </row>
    <row r="57" spans="1:12" ht="15.75" x14ac:dyDescent="0.25">
      <c r="A57" s="7"/>
      <c r="B57" s="7" t="s">
        <v>36</v>
      </c>
      <c r="C57" s="7" t="s">
        <v>37</v>
      </c>
      <c r="D57" s="7"/>
      <c r="E57" s="7"/>
      <c r="F57" s="7"/>
      <c r="G57" s="7"/>
      <c r="H57" s="7"/>
      <c r="I57" s="7"/>
      <c r="J57" s="58">
        <v>230.25</v>
      </c>
      <c r="K57" s="58">
        <f>J57/12</f>
        <v>19.1875</v>
      </c>
      <c r="L57" s="7"/>
    </row>
    <row r="58" spans="1:12" ht="15.75" x14ac:dyDescent="0.25">
      <c r="A58" s="7"/>
      <c r="B58" s="7" t="s">
        <v>38</v>
      </c>
      <c r="C58" s="193" t="s">
        <v>39</v>
      </c>
      <c r="D58" s="193"/>
      <c r="E58" s="193"/>
      <c r="F58" s="193"/>
      <c r="G58" s="7"/>
      <c r="H58" s="7"/>
      <c r="I58" s="7"/>
      <c r="J58" s="58">
        <v>161.80000000000001</v>
      </c>
      <c r="K58" s="58">
        <f>J58/12</f>
        <v>13.483333333333334</v>
      </c>
      <c r="L58" s="7"/>
    </row>
    <row r="59" spans="1:12" ht="15.75" x14ac:dyDescent="0.25">
      <c r="A59" s="7" t="s">
        <v>41</v>
      </c>
      <c r="B59" s="7"/>
      <c r="C59" s="7" t="s">
        <v>40</v>
      </c>
      <c r="D59" s="7"/>
      <c r="E59" s="7"/>
      <c r="F59" s="7"/>
      <c r="G59" s="7"/>
      <c r="H59" s="7"/>
      <c r="I59" s="7"/>
      <c r="J59" s="58">
        <v>0</v>
      </c>
      <c r="K59" s="58">
        <f>J59/12</f>
        <v>0</v>
      </c>
      <c r="L59" s="7"/>
    </row>
    <row r="60" spans="1:12" ht="15.75" x14ac:dyDescent="0.25">
      <c r="A60" s="7" t="s">
        <v>57</v>
      </c>
      <c r="B60" s="7"/>
      <c r="C60" s="193" t="s">
        <v>58</v>
      </c>
      <c r="D60" s="193"/>
      <c r="E60" s="193"/>
      <c r="F60" s="193"/>
      <c r="G60" s="193"/>
      <c r="H60" s="7"/>
      <c r="I60" s="7"/>
      <c r="J60" s="58">
        <f>Insumos!$B$8</f>
        <v>350.88</v>
      </c>
      <c r="K60" s="58">
        <f>4*J60</f>
        <v>1403.52</v>
      </c>
      <c r="L60" s="7"/>
    </row>
    <row r="61" spans="1:12" ht="15.75" x14ac:dyDescent="0.25">
      <c r="A61" s="7" t="s">
        <v>60</v>
      </c>
      <c r="B61" s="7"/>
      <c r="C61" s="45" t="s">
        <v>63</v>
      </c>
      <c r="D61" s="45"/>
      <c r="E61" s="45"/>
      <c r="F61" s="45"/>
      <c r="G61" s="45"/>
      <c r="H61" s="7"/>
      <c r="I61" s="7"/>
      <c r="J61" s="58">
        <f>Insumos!$B$9</f>
        <v>2680.95</v>
      </c>
      <c r="K61" s="58">
        <f>J61/12</f>
        <v>223.41249999999999</v>
      </c>
      <c r="L61" s="7"/>
    </row>
    <row r="62" spans="1:12" ht="15.75" x14ac:dyDescent="0.25">
      <c r="A62" s="7" t="s">
        <v>61</v>
      </c>
      <c r="B62" s="7"/>
      <c r="C62" s="193" t="s">
        <v>62</v>
      </c>
      <c r="D62" s="193"/>
      <c r="E62" s="193"/>
      <c r="F62" s="45"/>
      <c r="G62" s="45"/>
      <c r="H62" s="7"/>
      <c r="I62" s="7"/>
      <c r="J62" s="60">
        <f>Insumos!$B$10</f>
        <v>932.23</v>
      </c>
      <c r="K62" s="58">
        <f>J62/12</f>
        <v>77.685833333333335</v>
      </c>
      <c r="L62" s="7"/>
    </row>
    <row r="63" spans="1:12" ht="15.75" x14ac:dyDescent="0.25">
      <c r="A63" s="7" t="s">
        <v>142</v>
      </c>
      <c r="B63" s="7"/>
      <c r="C63" s="203" t="s">
        <v>143</v>
      </c>
      <c r="D63" s="203"/>
      <c r="E63" s="203"/>
      <c r="F63" s="203"/>
      <c r="G63" s="164"/>
      <c r="H63" s="7"/>
      <c r="I63" s="7"/>
      <c r="J63" s="60">
        <f>Insumos!$B$11</f>
        <v>471.82</v>
      </c>
      <c r="K63" s="72">
        <f>J63/24</f>
        <v>19.659166666666668</v>
      </c>
      <c r="L63" s="7"/>
    </row>
    <row r="64" spans="1:12" ht="15.75" x14ac:dyDescent="0.25">
      <c r="A64" s="7" t="s">
        <v>340</v>
      </c>
      <c r="B64" s="7"/>
      <c r="C64" s="165" t="s">
        <v>343</v>
      </c>
      <c r="D64" s="165"/>
      <c r="E64" s="165"/>
      <c r="F64" s="165"/>
      <c r="G64" s="164"/>
      <c r="H64" s="7"/>
      <c r="I64" s="7"/>
      <c r="J64" s="60">
        <f>Insumos!$B$12</f>
        <v>14.372399999999997</v>
      </c>
      <c r="K64" s="72">
        <f>J64/60</f>
        <v>0.23953999999999995</v>
      </c>
      <c r="L64" s="7"/>
    </row>
    <row r="65" spans="1:13" ht="20.25" customHeight="1" x14ac:dyDescent="0.25">
      <c r="A65" s="259" t="s">
        <v>43</v>
      </c>
      <c r="B65" s="260"/>
      <c r="C65" s="260"/>
      <c r="D65" s="260"/>
      <c r="E65" s="260"/>
      <c r="F65" s="260"/>
      <c r="G65" s="260"/>
      <c r="H65" s="260"/>
      <c r="I65" s="260"/>
      <c r="J65" s="261"/>
      <c r="K65" s="67">
        <f>SUM(K51:K64)</f>
        <v>19136.944978202664</v>
      </c>
      <c r="L65" s="57" t="s">
        <v>16</v>
      </c>
      <c r="M65" s="4"/>
    </row>
    <row r="67" spans="1:13" ht="19.5" customHeight="1" x14ac:dyDescent="0.3">
      <c r="A67" s="262" t="s">
        <v>132</v>
      </c>
      <c r="B67" s="263"/>
      <c r="C67" s="263"/>
      <c r="D67" s="263"/>
      <c r="E67" s="263"/>
      <c r="F67" s="263"/>
      <c r="G67" s="263"/>
      <c r="H67" s="263"/>
      <c r="I67" s="264"/>
      <c r="K67" s="66">
        <f>K47+K65</f>
        <v>31455.653962376397</v>
      </c>
    </row>
    <row r="69" spans="1:13" ht="15.75" x14ac:dyDescent="0.25">
      <c r="A69" s="254" t="s">
        <v>133</v>
      </c>
      <c r="B69" s="255"/>
      <c r="C69" s="255"/>
      <c r="D69" s="255"/>
      <c r="E69" s="256"/>
      <c r="I69" s="265" t="s">
        <v>55</v>
      </c>
      <c r="J69" s="266"/>
    </row>
    <row r="70" spans="1:13" ht="15.75" x14ac:dyDescent="0.25">
      <c r="A70" s="7" t="s">
        <v>341</v>
      </c>
      <c r="B70" s="7"/>
      <c r="C70" s="193" t="s">
        <v>54</v>
      </c>
      <c r="D70" s="193"/>
      <c r="E70" s="193"/>
      <c r="F70" s="193"/>
      <c r="G70" s="7"/>
      <c r="H70" s="7"/>
      <c r="I70" s="168">
        <f>Insumos!$B$15</f>
        <v>2.6599999999999999E-2</v>
      </c>
      <c r="J70" s="7"/>
      <c r="K70" s="58">
        <f>I70*K67</f>
        <v>836.72039539921207</v>
      </c>
      <c r="L70" s="7"/>
    </row>
    <row r="71" spans="1:13" ht="15.75" x14ac:dyDescent="0.25">
      <c r="A71" s="7" t="s">
        <v>342</v>
      </c>
      <c r="B71" s="7"/>
      <c r="C71" s="193" t="s">
        <v>59</v>
      </c>
      <c r="D71" s="193"/>
      <c r="E71" s="193"/>
      <c r="F71" s="193"/>
      <c r="G71" s="7"/>
      <c r="H71" s="7"/>
      <c r="I71" s="169">
        <f>Insumos!$B$16</f>
        <v>0.04</v>
      </c>
      <c r="J71" s="7"/>
      <c r="K71" s="58">
        <f>I71*(K67+K70)</f>
        <v>1291.6949743110245</v>
      </c>
      <c r="L71" s="7"/>
    </row>
    <row r="72" spans="1:13" ht="18.75" x14ac:dyDescent="0.3">
      <c r="A72" s="7"/>
      <c r="B72" s="7"/>
      <c r="C72" s="7"/>
      <c r="D72" s="7"/>
      <c r="E72" s="7"/>
      <c r="F72" s="7"/>
      <c r="G72" s="7"/>
      <c r="H72" s="7"/>
      <c r="I72" s="7"/>
      <c r="J72" s="61" t="s">
        <v>131</v>
      </c>
      <c r="K72" s="65">
        <f>SUM(K70:K71)</f>
        <v>2128.4153697102365</v>
      </c>
      <c r="L72" s="54" t="s">
        <v>16</v>
      </c>
    </row>
    <row r="74" spans="1:13" ht="15.75" x14ac:dyDescent="0.25">
      <c r="A74" s="254" t="s">
        <v>134</v>
      </c>
      <c r="B74" s="255"/>
      <c r="C74" s="255"/>
      <c r="D74" s="255"/>
      <c r="E74" s="256"/>
      <c r="F74" s="7"/>
      <c r="G74" s="7"/>
      <c r="H74" s="7"/>
      <c r="I74" s="7"/>
      <c r="J74" s="7"/>
      <c r="K74" s="7"/>
      <c r="L74" s="7"/>
    </row>
    <row r="75" spans="1:13" ht="15.75" x14ac:dyDescent="0.25">
      <c r="A75" s="193" t="s">
        <v>42</v>
      </c>
      <c r="B75" s="193"/>
      <c r="C75" s="193"/>
      <c r="D75" s="193"/>
      <c r="E75" s="193"/>
      <c r="F75" s="193"/>
      <c r="G75" s="7"/>
      <c r="H75" s="7"/>
      <c r="I75" s="219" t="s">
        <v>47</v>
      </c>
      <c r="J75" s="220"/>
      <c r="K75" s="51">
        <f>K67+K72</f>
        <v>33584.069332086634</v>
      </c>
      <c r="L75" s="7"/>
    </row>
    <row r="76" spans="1:13" ht="15.75" x14ac:dyDescent="0.25">
      <c r="A76" s="7" t="s">
        <v>53</v>
      </c>
      <c r="C76" s="7" t="s">
        <v>44</v>
      </c>
      <c r="D76" s="7"/>
      <c r="E76" s="7"/>
      <c r="F76" s="7"/>
      <c r="G76" s="7"/>
      <c r="H76" s="7"/>
      <c r="I76" s="257">
        <f>Insumos!$B$18</f>
        <v>0.05</v>
      </c>
      <c r="J76" s="258"/>
      <c r="K76" s="51">
        <f>$K$75/(1-(SUM($I$76:$J$78)))*I76</f>
        <v>1838.2085020299198</v>
      </c>
      <c r="L76" s="7"/>
    </row>
    <row r="77" spans="1:13" ht="15.75" x14ac:dyDescent="0.25">
      <c r="A77" s="7" t="s">
        <v>344</v>
      </c>
      <c r="C77" s="7" t="s">
        <v>45</v>
      </c>
      <c r="D77" s="7"/>
      <c r="E77" s="7"/>
      <c r="F77" s="7"/>
      <c r="G77" s="7"/>
      <c r="H77" s="7"/>
      <c r="I77" s="257">
        <f>Insumos!$B$19</f>
        <v>6.4999999999999997E-3</v>
      </c>
      <c r="J77" s="258"/>
      <c r="K77" s="51">
        <f>$K$75/(1-(SUM($I$76:$J$78)))*I77</f>
        <v>238.96710526388955</v>
      </c>
      <c r="L77" s="7"/>
    </row>
    <row r="78" spans="1:13" ht="15.75" x14ac:dyDescent="0.25">
      <c r="A78" s="7" t="s">
        <v>345</v>
      </c>
      <c r="C78" s="7" t="s">
        <v>46</v>
      </c>
      <c r="D78" s="7"/>
      <c r="E78" s="7"/>
      <c r="F78" s="7"/>
      <c r="G78" s="7"/>
      <c r="H78" s="7"/>
      <c r="I78" s="257">
        <f>Insumos!$B$20</f>
        <v>0.03</v>
      </c>
      <c r="J78" s="258"/>
      <c r="K78" s="51">
        <f>$K$75/(1-(SUM($I$76:$J$78)))*I78</f>
        <v>1102.9251012179518</v>
      </c>
      <c r="L78" s="7"/>
    </row>
    <row r="79" spans="1:13" ht="21" customHeight="1" x14ac:dyDescent="0.3">
      <c r="A79" s="251" t="s">
        <v>48</v>
      </c>
      <c r="B79" s="252"/>
      <c r="C79" s="252"/>
      <c r="D79" s="252"/>
      <c r="E79" s="252"/>
      <c r="F79" s="252"/>
      <c r="G79" s="252"/>
      <c r="H79" s="252"/>
      <c r="I79" s="252"/>
      <c r="J79" s="253"/>
      <c r="K79" s="64">
        <f>SUM(K76:K78)</f>
        <v>3180.1007085117608</v>
      </c>
      <c r="L79" s="54" t="s">
        <v>16</v>
      </c>
    </row>
    <row r="81" spans="1:20" x14ac:dyDescent="0.25">
      <c r="C81" s="5"/>
      <c r="D81" s="5"/>
      <c r="E81" s="5"/>
      <c r="F81" s="5"/>
      <c r="K81" s="2"/>
    </row>
    <row r="82" spans="1:20" ht="15.75" x14ac:dyDescent="0.25">
      <c r="A82" s="191" t="s">
        <v>56</v>
      </c>
      <c r="B82" s="191"/>
      <c r="C82" s="191"/>
      <c r="D82" s="191"/>
      <c r="E82" s="191"/>
      <c r="F82" s="191"/>
      <c r="G82" s="191"/>
      <c r="H82" s="191"/>
      <c r="I82" s="191"/>
      <c r="T82" s="43"/>
    </row>
    <row r="83" spans="1:20" ht="15.75" x14ac:dyDescent="0.25">
      <c r="A83" s="6"/>
      <c r="B83" s="6"/>
      <c r="C83" s="6"/>
      <c r="D83" s="6"/>
      <c r="E83" s="6"/>
      <c r="F83" s="6"/>
      <c r="G83" s="6"/>
      <c r="H83" s="6"/>
      <c r="I83" s="6"/>
    </row>
    <row r="84" spans="1:20" ht="15.75" x14ac:dyDescent="0.25">
      <c r="A84" s="191" t="s">
        <v>51</v>
      </c>
      <c r="B84" s="192"/>
      <c r="C84" s="192"/>
      <c r="D84" s="192"/>
      <c r="E84" s="192"/>
      <c r="F84" s="192"/>
      <c r="G84" s="192"/>
      <c r="H84" s="192"/>
    </row>
    <row r="85" spans="1:20" ht="20.25" customHeight="1" x14ac:dyDescent="0.3">
      <c r="A85" s="193" t="s">
        <v>135</v>
      </c>
      <c r="B85" s="193"/>
      <c r="C85" s="193"/>
      <c r="D85" s="193"/>
      <c r="E85" s="193"/>
      <c r="F85" s="193"/>
      <c r="G85" s="193"/>
      <c r="H85" s="193"/>
      <c r="I85" s="193"/>
      <c r="J85" s="193"/>
      <c r="K85" s="62">
        <f>K67+K72+K79</f>
        <v>36764.170040598394</v>
      </c>
    </row>
    <row r="86" spans="1:20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2"/>
    </row>
    <row r="87" spans="1:20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2"/>
      <c r="P87" s="42"/>
    </row>
    <row r="88" spans="1:20" ht="8.25" customHeight="1" x14ac:dyDescent="0.25"/>
    <row r="89" spans="1:20" ht="16.5" customHeight="1" x14ac:dyDescent="0.25">
      <c r="A89" s="194" t="s">
        <v>49</v>
      </c>
      <c r="B89" s="195"/>
      <c r="C89" s="195"/>
      <c r="D89" s="195"/>
      <c r="E89" s="195"/>
      <c r="F89" s="195"/>
      <c r="G89" s="195"/>
      <c r="H89" s="195"/>
      <c r="I89" s="195"/>
      <c r="J89" s="195"/>
      <c r="K89" s="7"/>
      <c r="L89" s="7"/>
    </row>
    <row r="90" spans="1:20" ht="24.75" customHeight="1" x14ac:dyDescent="0.3">
      <c r="A90" s="196" t="s">
        <v>141</v>
      </c>
      <c r="B90" s="196"/>
      <c r="C90" s="196"/>
      <c r="D90" s="196"/>
      <c r="E90" s="196"/>
      <c r="F90" s="196"/>
      <c r="G90" s="196"/>
      <c r="H90" s="196"/>
      <c r="I90" s="196"/>
      <c r="J90" s="196"/>
      <c r="K90" s="71">
        <f>K85/O18</f>
        <v>15.715213319910401</v>
      </c>
      <c r="L90" s="63" t="s">
        <v>50</v>
      </c>
    </row>
    <row r="94" spans="1:20" s="10" customFormat="1" x14ac:dyDescent="0.25"/>
    <row r="95" spans="1:20" s="11" customFormat="1" ht="18.75" x14ac:dyDescent="0.3">
      <c r="B95" s="12" t="s">
        <v>69</v>
      </c>
      <c r="D95" s="188" t="s">
        <v>65</v>
      </c>
      <c r="E95" s="188"/>
      <c r="L95" s="12" t="s">
        <v>69</v>
      </c>
      <c r="M95" s="12"/>
      <c r="N95" s="12" t="s">
        <v>75</v>
      </c>
      <c r="O95" s="12"/>
    </row>
    <row r="96" spans="1:20" s="11" customFormat="1" x14ac:dyDescent="0.25"/>
    <row r="97" spans="2:18" s="11" customFormat="1" x14ac:dyDescent="0.25">
      <c r="B97" s="184" t="s">
        <v>66</v>
      </c>
      <c r="C97" s="184"/>
      <c r="D97" s="13"/>
      <c r="E97" s="13"/>
      <c r="F97" s="189">
        <v>288912</v>
      </c>
      <c r="G97" s="189"/>
      <c r="L97" s="13" t="s">
        <v>66</v>
      </c>
      <c r="M97" s="13"/>
      <c r="N97" s="13"/>
      <c r="O97" s="13"/>
      <c r="P97" s="13"/>
      <c r="Q97" s="30">
        <v>271500</v>
      </c>
    </row>
    <row r="98" spans="2:18" s="11" customFormat="1" x14ac:dyDescent="0.25">
      <c r="B98" s="13" t="s">
        <v>67</v>
      </c>
      <c r="D98" s="13"/>
      <c r="E98" s="13"/>
      <c r="F98" s="185">
        <v>10</v>
      </c>
      <c r="G98" s="185"/>
      <c r="H98" s="11" t="s">
        <v>154</v>
      </c>
      <c r="L98" s="13" t="s">
        <v>67</v>
      </c>
      <c r="M98" s="13"/>
      <c r="N98" s="13"/>
      <c r="O98" s="13"/>
      <c r="P98" s="13"/>
      <c r="Q98" s="13">
        <v>10</v>
      </c>
      <c r="R98" s="11" t="s">
        <v>154</v>
      </c>
    </row>
    <row r="99" spans="2:18" s="11" customFormat="1" x14ac:dyDescent="0.25">
      <c r="B99" s="13" t="s">
        <v>81</v>
      </c>
      <c r="D99" s="13"/>
      <c r="E99" s="13"/>
      <c r="F99" s="14"/>
      <c r="G99" s="14">
        <v>2018</v>
      </c>
      <c r="L99" s="13" t="s">
        <v>81</v>
      </c>
      <c r="N99" s="13"/>
      <c r="O99" s="13"/>
      <c r="P99" s="14"/>
      <c r="Q99" s="14">
        <v>2018</v>
      </c>
    </row>
    <row r="100" spans="2:18" s="11" customFormat="1" x14ac:dyDescent="0.25">
      <c r="B100" s="184" t="s">
        <v>68</v>
      </c>
      <c r="C100" s="184"/>
      <c r="D100" s="184"/>
      <c r="F100" s="185">
        <v>6</v>
      </c>
      <c r="G100" s="185"/>
      <c r="L100" s="13" t="s">
        <v>76</v>
      </c>
      <c r="M100" s="13"/>
      <c r="N100" s="13"/>
      <c r="O100" s="13"/>
      <c r="P100" s="13"/>
      <c r="Q100" s="13">
        <v>6</v>
      </c>
    </row>
    <row r="101" spans="2:18" s="11" customFormat="1" x14ac:dyDescent="0.25">
      <c r="B101" s="184" t="s">
        <v>71</v>
      </c>
      <c r="C101" s="184"/>
      <c r="D101" s="184"/>
      <c r="F101" s="14"/>
      <c r="G101" s="17">
        <v>100000</v>
      </c>
      <c r="L101" s="13" t="s">
        <v>71</v>
      </c>
      <c r="M101" s="13"/>
      <c r="N101" s="13"/>
      <c r="O101" s="13"/>
      <c r="P101" s="13"/>
      <c r="Q101" s="19">
        <v>100000</v>
      </c>
    </row>
    <row r="102" spans="2:18" s="11" customFormat="1" x14ac:dyDescent="0.25">
      <c r="B102" s="184" t="s">
        <v>72</v>
      </c>
      <c r="C102" s="184"/>
      <c r="D102" s="184"/>
      <c r="F102" s="14"/>
      <c r="G102" s="20">
        <v>1533.77</v>
      </c>
      <c r="L102" s="13" t="s">
        <v>72</v>
      </c>
      <c r="M102" s="13"/>
      <c r="N102" s="13"/>
      <c r="O102" s="13"/>
      <c r="P102" s="13"/>
      <c r="Q102" s="69">
        <v>860.69</v>
      </c>
    </row>
    <row r="103" spans="2:18" s="11" customFormat="1" x14ac:dyDescent="0.25">
      <c r="B103" s="184" t="s">
        <v>73</v>
      </c>
      <c r="C103" s="184"/>
      <c r="D103" s="15"/>
      <c r="F103" s="14"/>
      <c r="G103" s="14">
        <v>2.6</v>
      </c>
      <c r="H103" s="13" t="s">
        <v>74</v>
      </c>
      <c r="L103" s="13" t="s">
        <v>73</v>
      </c>
      <c r="M103" s="13"/>
      <c r="N103" s="13"/>
      <c r="O103" s="13"/>
      <c r="P103" s="13"/>
      <c r="Q103" s="13">
        <v>4.7</v>
      </c>
    </row>
    <row r="104" spans="2:18" s="11" customFormat="1" x14ac:dyDescent="0.25">
      <c r="B104" s="184" t="s">
        <v>70</v>
      </c>
      <c r="C104" s="184"/>
      <c r="D104" s="184"/>
      <c r="F104" s="185" t="s">
        <v>125</v>
      </c>
      <c r="G104" s="185"/>
      <c r="L104" s="13" t="s">
        <v>70</v>
      </c>
      <c r="M104" s="13"/>
      <c r="N104" s="13"/>
      <c r="O104" s="13"/>
      <c r="P104" s="13"/>
      <c r="Q104" s="13" t="s">
        <v>124</v>
      </c>
    </row>
    <row r="105" spans="2:18" s="11" customFormat="1" x14ac:dyDescent="0.25"/>
    <row r="106" spans="2:18" s="11" customFormat="1" x14ac:dyDescent="0.25"/>
    <row r="107" spans="2:18" s="11" customFormat="1" ht="18.75" x14ac:dyDescent="0.3">
      <c r="B107" s="12" t="s">
        <v>69</v>
      </c>
      <c r="C107" s="12"/>
      <c r="D107" s="12" t="s">
        <v>77</v>
      </c>
      <c r="E107" s="13"/>
      <c r="F107" s="13"/>
      <c r="G107" s="13"/>
      <c r="H107" s="13"/>
      <c r="L107" s="12" t="s">
        <v>69</v>
      </c>
      <c r="M107" s="16"/>
      <c r="N107" s="16"/>
      <c r="O107" s="12" t="s">
        <v>78</v>
      </c>
    </row>
    <row r="108" spans="2:18" s="11" customFormat="1" x14ac:dyDescent="0.25">
      <c r="B108" s="13"/>
      <c r="C108" s="13"/>
      <c r="D108" s="13"/>
      <c r="E108" s="13"/>
      <c r="F108" s="13"/>
      <c r="G108" s="13"/>
      <c r="H108" s="13"/>
    </row>
    <row r="109" spans="2:18" s="11" customFormat="1" x14ac:dyDescent="0.25">
      <c r="B109" s="184" t="s">
        <v>66</v>
      </c>
      <c r="C109" s="184"/>
      <c r="D109" s="13"/>
      <c r="E109" s="13"/>
      <c r="F109" s="185">
        <v>400</v>
      </c>
      <c r="G109" s="185"/>
      <c r="H109" s="13"/>
      <c r="L109" s="184" t="s">
        <v>66</v>
      </c>
      <c r="M109" s="184"/>
      <c r="N109" s="13"/>
      <c r="O109" s="13"/>
      <c r="P109" s="185" t="s">
        <v>78</v>
      </c>
      <c r="Q109" s="185"/>
      <c r="R109" s="13"/>
    </row>
    <row r="110" spans="2:18" s="11" customFormat="1" x14ac:dyDescent="0.25">
      <c r="B110" s="13" t="s">
        <v>67</v>
      </c>
      <c r="C110" s="13"/>
      <c r="D110" s="13"/>
      <c r="E110" s="13"/>
      <c r="F110" s="185">
        <v>10</v>
      </c>
      <c r="G110" s="185"/>
      <c r="H110" s="13" t="s">
        <v>154</v>
      </c>
      <c r="L110" s="13" t="s">
        <v>67</v>
      </c>
      <c r="M110" s="13"/>
      <c r="N110" s="13"/>
      <c r="O110" s="13"/>
      <c r="P110" s="185">
        <v>8</v>
      </c>
      <c r="Q110" s="185"/>
      <c r="R110" s="13" t="s">
        <v>154</v>
      </c>
    </row>
    <row r="111" spans="2:18" s="11" customFormat="1" x14ac:dyDescent="0.25">
      <c r="B111" s="13" t="s">
        <v>81</v>
      </c>
      <c r="D111" s="13"/>
      <c r="E111" s="13"/>
      <c r="F111" s="14"/>
      <c r="G111" s="14" t="s">
        <v>82</v>
      </c>
      <c r="L111" s="13" t="s">
        <v>81</v>
      </c>
      <c r="N111" s="13"/>
      <c r="O111" s="13"/>
      <c r="P111" s="14"/>
      <c r="Q111" s="14" t="s">
        <v>83</v>
      </c>
      <c r="R111" s="13"/>
    </row>
    <row r="112" spans="2:18" s="11" customFormat="1" x14ac:dyDescent="0.25">
      <c r="B112" s="184" t="s">
        <v>68</v>
      </c>
      <c r="C112" s="184"/>
      <c r="D112" s="184"/>
      <c r="E112" s="13"/>
      <c r="F112" s="185" t="s">
        <v>87</v>
      </c>
      <c r="G112" s="185"/>
      <c r="H112" s="13"/>
      <c r="L112" s="184" t="s">
        <v>68</v>
      </c>
      <c r="M112" s="184"/>
      <c r="N112" s="184"/>
      <c r="O112" s="13"/>
      <c r="P112" s="185" t="s">
        <v>88</v>
      </c>
      <c r="Q112" s="185"/>
      <c r="R112" s="13"/>
    </row>
    <row r="113" spans="2:21" s="11" customFormat="1" x14ac:dyDescent="0.25">
      <c r="B113" s="184" t="s">
        <v>71</v>
      </c>
      <c r="C113" s="184"/>
      <c r="D113" s="184"/>
      <c r="E113" s="13"/>
      <c r="F113" s="14"/>
      <c r="G113" s="14" t="s">
        <v>89</v>
      </c>
      <c r="H113" s="13"/>
      <c r="L113" s="184" t="s">
        <v>71</v>
      </c>
      <c r="M113" s="184"/>
      <c r="N113" s="184"/>
      <c r="O113" s="13"/>
      <c r="P113" s="14"/>
      <c r="Q113" s="14" t="s">
        <v>90</v>
      </c>
      <c r="R113" s="13"/>
    </row>
    <row r="114" spans="2:21" s="11" customFormat="1" x14ac:dyDescent="0.25">
      <c r="B114" s="184" t="s">
        <v>72</v>
      </c>
      <c r="C114" s="184"/>
      <c r="D114" s="184"/>
      <c r="E114" s="13"/>
      <c r="F114" s="14"/>
      <c r="G114" s="14">
        <v>400</v>
      </c>
      <c r="H114" s="13"/>
      <c r="L114" s="184" t="s">
        <v>72</v>
      </c>
      <c r="M114" s="184"/>
      <c r="N114" s="184"/>
      <c r="O114" s="13"/>
      <c r="P114" s="14"/>
      <c r="Q114" s="14">
        <v>4444</v>
      </c>
      <c r="R114" s="13"/>
    </row>
    <row r="115" spans="2:21" s="11" customFormat="1" x14ac:dyDescent="0.25">
      <c r="B115" s="184" t="s">
        <v>73</v>
      </c>
      <c r="C115" s="184"/>
      <c r="D115" s="15"/>
      <c r="E115" s="13"/>
      <c r="F115" s="14"/>
      <c r="G115" s="14">
        <v>2</v>
      </c>
      <c r="H115" s="13" t="s">
        <v>74</v>
      </c>
      <c r="L115" s="184" t="s">
        <v>73</v>
      </c>
      <c r="M115" s="184"/>
      <c r="N115" s="15"/>
      <c r="O115" s="13"/>
      <c r="P115" s="14"/>
      <c r="Q115" s="14">
        <v>4</v>
      </c>
      <c r="R115" s="13" t="s">
        <v>74</v>
      </c>
    </row>
    <row r="116" spans="2:21" s="11" customFormat="1" x14ac:dyDescent="0.25">
      <c r="B116" s="184" t="s">
        <v>70</v>
      </c>
      <c r="C116" s="184"/>
      <c r="D116" s="184"/>
      <c r="E116" s="13"/>
      <c r="F116" s="185" t="s">
        <v>85</v>
      </c>
      <c r="G116" s="185"/>
      <c r="H116" s="13"/>
      <c r="L116" s="184" t="s">
        <v>70</v>
      </c>
      <c r="M116" s="184"/>
      <c r="N116" s="184"/>
      <c r="O116" s="13"/>
      <c r="P116" s="185" t="s">
        <v>86</v>
      </c>
      <c r="Q116" s="185"/>
      <c r="R116" s="13"/>
    </row>
    <row r="117" spans="2:21" s="11" customFormat="1" x14ac:dyDescent="0.25"/>
    <row r="118" spans="2:21" s="11" customFormat="1" x14ac:dyDescent="0.25"/>
    <row r="119" spans="2:21" s="11" customFormat="1" ht="18.75" x14ac:dyDescent="0.3">
      <c r="Q119" s="12" t="s">
        <v>65</v>
      </c>
      <c r="R119" s="12"/>
      <c r="T119" s="13" t="s">
        <v>130</v>
      </c>
      <c r="U119" s="13"/>
    </row>
    <row r="120" spans="2:21" s="11" customFormat="1" ht="18.75" x14ac:dyDescent="0.3">
      <c r="Q120" s="12" t="s">
        <v>75</v>
      </c>
      <c r="T120" s="13" t="s">
        <v>129</v>
      </c>
      <c r="U120" s="13"/>
    </row>
    <row r="121" spans="2:21" s="11" customFormat="1" ht="18.75" x14ac:dyDescent="0.3">
      <c r="Q121" s="12" t="s">
        <v>77</v>
      </c>
    </row>
    <row r="122" spans="2:21" s="11" customFormat="1" ht="18" customHeight="1" x14ac:dyDescent="0.3">
      <c r="B122" s="186" t="s">
        <v>172</v>
      </c>
      <c r="C122" s="186"/>
      <c r="Q122" s="12" t="s">
        <v>78</v>
      </c>
    </row>
    <row r="123" spans="2:21" ht="0.75" hidden="1" customHeight="1" x14ac:dyDescent="0.25">
      <c r="B123" s="186"/>
      <c r="C123" s="186"/>
    </row>
    <row r="124" spans="2:21" hidden="1" x14ac:dyDescent="0.25">
      <c r="B124" s="186"/>
      <c r="C124" s="186"/>
    </row>
    <row r="125" spans="2:21" x14ac:dyDescent="0.25">
      <c r="B125" s="186"/>
      <c r="C125" s="186"/>
    </row>
    <row r="126" spans="2:21" ht="24.75" x14ac:dyDescent="0.25">
      <c r="B126" s="94" t="s">
        <v>173</v>
      </c>
      <c r="C126" s="9" t="s">
        <v>174</v>
      </c>
      <c r="D126" s="9"/>
      <c r="E126" s="9"/>
      <c r="F126" s="9" t="s">
        <v>175</v>
      </c>
      <c r="G126" s="9"/>
      <c r="H126" s="9"/>
      <c r="I126" s="9" t="s">
        <v>176</v>
      </c>
      <c r="J126" s="9"/>
      <c r="K126" s="9"/>
      <c r="L126" s="9" t="s">
        <v>177</v>
      </c>
      <c r="M126" s="9"/>
      <c r="N126" s="9"/>
    </row>
    <row r="127" spans="2:21" x14ac:dyDescent="0.25">
      <c r="B127" s="5">
        <v>40</v>
      </c>
      <c r="C127" s="2">
        <f>$K$42*(B127*21)</f>
        <v>4049.0369329846144</v>
      </c>
      <c r="F127" s="2">
        <f>(C127+$K$65)*0.05</f>
        <v>1159.2990955593639</v>
      </c>
      <c r="I127" s="2">
        <f>(C127+$K$65+F127)*6%</f>
        <v>1460.7168604047984</v>
      </c>
      <c r="L127" s="31">
        <f>(C127+$K$65+F127+I127)*14.25%</f>
        <v>3677.3546960690801</v>
      </c>
      <c r="M127" s="9"/>
      <c r="N127" s="9"/>
    </row>
    <row r="128" spans="2:21" x14ac:dyDescent="0.25">
      <c r="B128" s="5">
        <v>50</v>
      </c>
      <c r="C128" s="2">
        <f t="shared" ref="C128:C139" si="0">$K$42*(B128*21)</f>
        <v>5061.296166230768</v>
      </c>
      <c r="F128" s="2">
        <f t="shared" ref="F128:F139" si="1">(C128+$K$65)*0.05</f>
        <v>1209.9120572216716</v>
      </c>
      <c r="I128" s="2">
        <f t="shared" ref="I128:I139" si="2">(C128+$K$65+F128)*6%</f>
        <v>1524.4891920993061</v>
      </c>
      <c r="L128" s="31">
        <f t="shared" ref="L128:L139" si="3">(C128+$K$65+F128+I128)*14.25%</f>
        <v>3837.9015411100031</v>
      </c>
      <c r="M128" s="9"/>
      <c r="N128" s="9"/>
    </row>
    <row r="129" spans="2:14" x14ac:dyDescent="0.25">
      <c r="B129" s="5">
        <v>60</v>
      </c>
      <c r="C129" s="2">
        <f t="shared" si="0"/>
        <v>6073.5553994769216</v>
      </c>
      <c r="F129" s="2">
        <f t="shared" si="1"/>
        <v>1260.5250188839793</v>
      </c>
      <c r="I129" s="2">
        <f t="shared" si="2"/>
        <v>1588.2615237938137</v>
      </c>
      <c r="L129" s="31">
        <f t="shared" si="3"/>
        <v>3998.4483861509261</v>
      </c>
      <c r="M129" s="9"/>
      <c r="N129" s="9"/>
    </row>
    <row r="130" spans="2:14" x14ac:dyDescent="0.25">
      <c r="B130" s="5">
        <v>70</v>
      </c>
      <c r="C130" s="2">
        <f t="shared" si="0"/>
        <v>7085.8146327230752</v>
      </c>
      <c r="F130" s="2">
        <f t="shared" si="1"/>
        <v>1311.1379805462871</v>
      </c>
      <c r="I130" s="2">
        <f t="shared" si="2"/>
        <v>1652.0338554883215</v>
      </c>
      <c r="L130" s="31">
        <f t="shared" si="3"/>
        <v>4158.9952311918487</v>
      </c>
      <c r="M130" s="9"/>
      <c r="N130" s="9"/>
    </row>
    <row r="131" spans="2:14" x14ac:dyDescent="0.25">
      <c r="B131" s="5">
        <v>80</v>
      </c>
      <c r="C131" s="2">
        <f t="shared" si="0"/>
        <v>8098.0738659692288</v>
      </c>
      <c r="F131" s="2">
        <f t="shared" si="1"/>
        <v>1361.7509422085948</v>
      </c>
      <c r="I131" s="2">
        <f t="shared" si="2"/>
        <v>1715.806187182829</v>
      </c>
      <c r="L131" s="31">
        <f t="shared" si="3"/>
        <v>4319.5420762327722</v>
      </c>
      <c r="M131" s="9"/>
      <c r="N131" s="9"/>
    </row>
    <row r="132" spans="2:14" x14ac:dyDescent="0.25">
      <c r="B132" s="5">
        <v>90</v>
      </c>
      <c r="C132" s="2">
        <f t="shared" si="0"/>
        <v>9110.3330992153824</v>
      </c>
      <c r="F132" s="2">
        <f t="shared" si="1"/>
        <v>1412.3639038709025</v>
      </c>
      <c r="I132" s="2">
        <f t="shared" si="2"/>
        <v>1779.578518877337</v>
      </c>
      <c r="L132" s="31">
        <f t="shared" si="3"/>
        <v>4480.0889212736956</v>
      </c>
      <c r="M132" s="9"/>
      <c r="N132" s="9"/>
    </row>
    <row r="133" spans="2:14" x14ac:dyDescent="0.25">
      <c r="B133" s="5">
        <v>100</v>
      </c>
      <c r="C133" s="2">
        <f t="shared" si="0"/>
        <v>10122.592332461536</v>
      </c>
      <c r="F133" s="2">
        <f t="shared" si="1"/>
        <v>1462.97686553321</v>
      </c>
      <c r="I133" s="2">
        <f t="shared" si="2"/>
        <v>1843.3508505718444</v>
      </c>
      <c r="L133" s="31">
        <f t="shared" si="3"/>
        <v>4640.6357663146182</v>
      </c>
      <c r="M133" s="9"/>
      <c r="N133" s="9"/>
    </row>
    <row r="134" spans="2:14" x14ac:dyDescent="0.25">
      <c r="B134" s="5">
        <v>110</v>
      </c>
      <c r="C134" s="2">
        <f t="shared" si="0"/>
        <v>11134.85156570769</v>
      </c>
      <c r="F134" s="2">
        <f t="shared" si="1"/>
        <v>1513.5898271955177</v>
      </c>
      <c r="I134" s="2">
        <f t="shared" si="2"/>
        <v>1907.1231822663524</v>
      </c>
      <c r="L134" s="31">
        <f t="shared" si="3"/>
        <v>4801.1826113555417</v>
      </c>
      <c r="M134" s="9"/>
      <c r="N134" s="9"/>
    </row>
    <row r="135" spans="2:14" x14ac:dyDescent="0.25">
      <c r="B135" s="5">
        <v>120</v>
      </c>
      <c r="C135" s="2">
        <f t="shared" si="0"/>
        <v>12147.110798953843</v>
      </c>
      <c r="F135" s="2">
        <f t="shared" si="1"/>
        <v>1564.2027888578255</v>
      </c>
      <c r="I135" s="2">
        <f t="shared" si="2"/>
        <v>1970.8955139608597</v>
      </c>
      <c r="L135" s="31">
        <f t="shared" si="3"/>
        <v>4961.7294563964642</v>
      </c>
      <c r="M135" s="9"/>
      <c r="N135" s="9"/>
    </row>
    <row r="136" spans="2:14" x14ac:dyDescent="0.25">
      <c r="B136" s="5">
        <v>130</v>
      </c>
      <c r="C136" s="2">
        <f t="shared" si="0"/>
        <v>13159.370032199997</v>
      </c>
      <c r="F136" s="2">
        <f t="shared" si="1"/>
        <v>1614.8157505201332</v>
      </c>
      <c r="I136" s="2">
        <f t="shared" si="2"/>
        <v>2034.6678456553677</v>
      </c>
      <c r="L136" s="31">
        <f t="shared" si="3"/>
        <v>5122.2763014373886</v>
      </c>
      <c r="M136" s="9"/>
      <c r="N136" s="9"/>
    </row>
    <row r="137" spans="2:14" x14ac:dyDescent="0.25">
      <c r="B137" s="5">
        <v>140</v>
      </c>
      <c r="C137" s="2">
        <f t="shared" si="0"/>
        <v>14171.62926544615</v>
      </c>
      <c r="F137" s="2">
        <f t="shared" si="1"/>
        <v>1665.4287121824409</v>
      </c>
      <c r="I137" s="2">
        <f t="shared" si="2"/>
        <v>2098.4401773498753</v>
      </c>
      <c r="L137" s="31">
        <f t="shared" si="3"/>
        <v>5282.8231464783103</v>
      </c>
      <c r="M137" s="9"/>
      <c r="N137" s="9"/>
    </row>
    <row r="138" spans="2:14" x14ac:dyDescent="0.25">
      <c r="B138" s="5">
        <v>150</v>
      </c>
      <c r="C138" s="2">
        <f t="shared" si="0"/>
        <v>15183.888498692304</v>
      </c>
      <c r="F138" s="2">
        <f t="shared" si="1"/>
        <v>1716.0416738447486</v>
      </c>
      <c r="I138" s="2">
        <f t="shared" si="2"/>
        <v>2162.2125090443828</v>
      </c>
      <c r="L138" s="31">
        <f t="shared" si="3"/>
        <v>5443.3699915192337</v>
      </c>
      <c r="M138" s="9"/>
      <c r="N138" s="9"/>
    </row>
    <row r="139" spans="2:14" x14ac:dyDescent="0.25">
      <c r="B139" s="5">
        <v>160</v>
      </c>
      <c r="C139" s="2">
        <f t="shared" si="0"/>
        <v>16196.147731938458</v>
      </c>
      <c r="F139" s="2">
        <f t="shared" si="1"/>
        <v>1766.6546355070561</v>
      </c>
      <c r="I139" s="2">
        <f t="shared" si="2"/>
        <v>2225.9848407388904</v>
      </c>
      <c r="L139" s="31">
        <f t="shared" si="3"/>
        <v>5603.9168365601563</v>
      </c>
      <c r="M139" s="9"/>
      <c r="N139" s="9"/>
    </row>
    <row r="140" spans="2:14" x14ac:dyDescent="0.25">
      <c r="B140" s="5"/>
    </row>
    <row r="143" spans="2:14" x14ac:dyDescent="0.25">
      <c r="B143" s="187" t="s">
        <v>178</v>
      </c>
      <c r="C143" s="187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</row>
    <row r="144" spans="2:14" x14ac:dyDescent="0.25">
      <c r="B144" s="187"/>
      <c r="C144" s="187"/>
    </row>
    <row r="145" spans="2:14" x14ac:dyDescent="0.25">
      <c r="B145" s="187"/>
      <c r="C145" s="187"/>
    </row>
    <row r="146" spans="2:14" x14ac:dyDescent="0.25">
      <c r="B146" s="187"/>
      <c r="C146" s="187"/>
    </row>
    <row r="147" spans="2:14" ht="24.75" x14ac:dyDescent="0.25">
      <c r="B147" s="94" t="s">
        <v>173</v>
      </c>
      <c r="C147" s="9" t="s">
        <v>174</v>
      </c>
      <c r="D147" s="9"/>
      <c r="E147" s="9"/>
      <c r="F147" s="9" t="s">
        <v>175</v>
      </c>
      <c r="G147" s="9"/>
      <c r="H147" s="9"/>
      <c r="I147" s="9" t="s">
        <v>176</v>
      </c>
      <c r="J147" s="9"/>
      <c r="K147" s="9"/>
      <c r="L147" s="9" t="s">
        <v>177</v>
      </c>
      <c r="M147" s="9"/>
      <c r="N147" s="9"/>
    </row>
    <row r="148" spans="2:14" x14ac:dyDescent="0.25">
      <c r="B148" s="5">
        <v>40</v>
      </c>
      <c r="C148" s="2">
        <f>($K$42*(B148*21))*1.154</f>
        <v>4672.5886206642444</v>
      </c>
      <c r="F148" s="2">
        <f>(C148+$K$65)*0.05</f>
        <v>1190.4766799433455</v>
      </c>
      <c r="I148" s="2">
        <f>(C148+$K$65+F148)*6%</f>
        <v>1500.0006167286153</v>
      </c>
      <c r="L148" s="31">
        <f>(C148+$K$65+F148+I148)*14.25%</f>
        <v>3776.2515526142888</v>
      </c>
      <c r="M148" s="9"/>
      <c r="N148" s="9"/>
    </row>
    <row r="149" spans="2:14" x14ac:dyDescent="0.25">
      <c r="B149" s="5">
        <v>50</v>
      </c>
      <c r="C149" s="2">
        <f t="shared" ref="C149:C160" si="4">($K$42*(B149*21))*1.154</f>
        <v>5840.735775830306</v>
      </c>
      <c r="F149" s="2">
        <f t="shared" ref="F149:F160" si="5">(C149+$K$65)*0.05</f>
        <v>1248.8840377016486</v>
      </c>
      <c r="I149" s="2">
        <f t="shared" ref="I149:I160" si="6">(C149+$K$65+F149)*6%</f>
        <v>1573.593887504077</v>
      </c>
      <c r="L149" s="31">
        <f t="shared" ref="L149:L160" si="7">(C149+$K$65+F149+I149)*14.25%</f>
        <v>3961.5226117915136</v>
      </c>
      <c r="M149" s="9"/>
      <c r="N149" s="9"/>
    </row>
    <row r="150" spans="2:14" x14ac:dyDescent="0.25">
      <c r="B150" s="5">
        <v>60</v>
      </c>
      <c r="C150" s="2">
        <f t="shared" si="4"/>
        <v>7008.8829309963667</v>
      </c>
      <c r="F150" s="2">
        <f t="shared" si="5"/>
        <v>1307.2913954599517</v>
      </c>
      <c r="I150" s="2">
        <f t="shared" si="6"/>
        <v>1647.1871582795388</v>
      </c>
      <c r="L150" s="31">
        <f t="shared" si="7"/>
        <v>4146.7936709687392</v>
      </c>
      <c r="M150" s="9"/>
      <c r="N150" s="9"/>
    </row>
    <row r="151" spans="2:14" x14ac:dyDescent="0.25">
      <c r="B151" s="5">
        <v>70</v>
      </c>
      <c r="C151" s="2">
        <f t="shared" si="4"/>
        <v>8177.0300861624282</v>
      </c>
      <c r="F151" s="2">
        <f t="shared" si="5"/>
        <v>1365.6987532182548</v>
      </c>
      <c r="I151" s="2">
        <f t="shared" si="6"/>
        <v>1720.7804290550007</v>
      </c>
      <c r="L151" s="31">
        <f t="shared" si="7"/>
        <v>4332.0647301459639</v>
      </c>
      <c r="M151" s="9"/>
      <c r="N151" s="9"/>
    </row>
    <row r="152" spans="2:14" x14ac:dyDescent="0.25">
      <c r="B152" s="5">
        <v>80</v>
      </c>
      <c r="C152" s="2">
        <f t="shared" si="4"/>
        <v>9345.1772413284889</v>
      </c>
      <c r="F152" s="2">
        <f t="shared" si="5"/>
        <v>1424.1061109765578</v>
      </c>
      <c r="I152" s="2">
        <f t="shared" si="6"/>
        <v>1794.3736998304626</v>
      </c>
      <c r="L152" s="31">
        <f t="shared" si="7"/>
        <v>4517.3357893231896</v>
      </c>
      <c r="M152" s="9"/>
      <c r="N152" s="9"/>
    </row>
    <row r="153" spans="2:14" x14ac:dyDescent="0.25">
      <c r="B153" s="5">
        <v>90</v>
      </c>
      <c r="C153" s="2">
        <f t="shared" si="4"/>
        <v>10513.32439649455</v>
      </c>
      <c r="F153" s="2">
        <f t="shared" si="5"/>
        <v>1482.5134687348609</v>
      </c>
      <c r="I153" s="2">
        <f t="shared" si="6"/>
        <v>1867.9669706059244</v>
      </c>
      <c r="L153" s="31">
        <f t="shared" si="7"/>
        <v>4702.6068485004143</v>
      </c>
      <c r="M153" s="9"/>
      <c r="N153" s="9"/>
    </row>
    <row r="154" spans="2:14" x14ac:dyDescent="0.25">
      <c r="B154" s="5">
        <v>100</v>
      </c>
      <c r="C154" s="2">
        <f t="shared" si="4"/>
        <v>11681.471551660612</v>
      </c>
      <c r="F154" s="2">
        <f t="shared" si="5"/>
        <v>1540.920826493164</v>
      </c>
      <c r="I154" s="2">
        <f t="shared" si="6"/>
        <v>1941.5602413813863</v>
      </c>
      <c r="L154" s="31">
        <f t="shared" si="7"/>
        <v>4887.8779076776391</v>
      </c>
      <c r="M154" s="9"/>
      <c r="N154" s="9"/>
    </row>
    <row r="155" spans="2:14" x14ac:dyDescent="0.25">
      <c r="B155" s="5">
        <v>110</v>
      </c>
      <c r="C155" s="2">
        <f t="shared" si="4"/>
        <v>12849.618706826674</v>
      </c>
      <c r="F155" s="2">
        <f t="shared" si="5"/>
        <v>1599.3281842514671</v>
      </c>
      <c r="I155" s="2">
        <f t="shared" si="6"/>
        <v>2015.1535121568484</v>
      </c>
      <c r="L155" s="31">
        <f t="shared" si="7"/>
        <v>5073.1489668548647</v>
      </c>
      <c r="M155" s="9"/>
      <c r="N155" s="9"/>
    </row>
    <row r="156" spans="2:14" x14ac:dyDescent="0.25">
      <c r="B156" s="5">
        <v>120</v>
      </c>
      <c r="C156" s="2">
        <f t="shared" si="4"/>
        <v>14017.765861992733</v>
      </c>
      <c r="F156" s="2">
        <f t="shared" si="5"/>
        <v>1657.7355420097699</v>
      </c>
      <c r="I156" s="2">
        <f t="shared" si="6"/>
        <v>2088.7467829323095</v>
      </c>
      <c r="L156" s="31">
        <f t="shared" si="7"/>
        <v>5258.4200260320886</v>
      </c>
      <c r="M156" s="9"/>
      <c r="N156" s="9"/>
    </row>
    <row r="157" spans="2:14" x14ac:dyDescent="0.25">
      <c r="B157" s="5">
        <v>130</v>
      </c>
      <c r="C157" s="2">
        <f t="shared" si="4"/>
        <v>15185.913017158795</v>
      </c>
      <c r="F157" s="2">
        <f t="shared" si="5"/>
        <v>1716.1428997680732</v>
      </c>
      <c r="I157" s="2">
        <f t="shared" si="6"/>
        <v>2162.3400537077719</v>
      </c>
      <c r="L157" s="31">
        <f t="shared" si="7"/>
        <v>5443.6910852093151</v>
      </c>
      <c r="M157" s="9"/>
      <c r="N157" s="9"/>
    </row>
    <row r="158" spans="2:14" x14ac:dyDescent="0.25">
      <c r="B158" s="5">
        <v>140</v>
      </c>
      <c r="C158" s="2">
        <f t="shared" si="4"/>
        <v>16354.060172324856</v>
      </c>
      <c r="F158" s="2">
        <f t="shared" si="5"/>
        <v>1774.5502575263761</v>
      </c>
      <c r="I158" s="2">
        <f t="shared" si="6"/>
        <v>2235.9333244832337</v>
      </c>
      <c r="L158" s="31">
        <f t="shared" si="7"/>
        <v>5628.9621443865399</v>
      </c>
      <c r="M158" s="9"/>
      <c r="N158" s="9"/>
    </row>
    <row r="159" spans="2:14" x14ac:dyDescent="0.25">
      <c r="B159" s="5">
        <v>150</v>
      </c>
      <c r="C159" s="2">
        <f t="shared" si="4"/>
        <v>17522.207327490916</v>
      </c>
      <c r="F159" s="2">
        <f t="shared" si="5"/>
        <v>1832.9576152846794</v>
      </c>
      <c r="I159" s="2">
        <f t="shared" si="6"/>
        <v>2309.5265952586956</v>
      </c>
      <c r="L159" s="31">
        <f t="shared" si="7"/>
        <v>5814.2332035637655</v>
      </c>
      <c r="M159" s="9"/>
      <c r="N159" s="9"/>
    </row>
    <row r="160" spans="2:14" x14ac:dyDescent="0.25">
      <c r="B160" s="5">
        <v>160</v>
      </c>
      <c r="C160" s="2">
        <f t="shared" si="4"/>
        <v>18690.354482656978</v>
      </c>
      <c r="F160" s="2">
        <f t="shared" si="5"/>
        <v>1891.3649730429822</v>
      </c>
      <c r="I160" s="2">
        <f t="shared" si="6"/>
        <v>2383.1198660341574</v>
      </c>
      <c r="L160" s="31">
        <f t="shared" si="7"/>
        <v>5999.5042627409903</v>
      </c>
      <c r="M160" s="9"/>
      <c r="N160" s="9"/>
    </row>
  </sheetData>
  <mergeCells count="121">
    <mergeCell ref="B116:D116"/>
    <mergeCell ref="F116:G116"/>
    <mergeCell ref="L116:N116"/>
    <mergeCell ref="P116:Q116"/>
    <mergeCell ref="B122:C125"/>
    <mergeCell ref="B143:C146"/>
    <mergeCell ref="B113:D113"/>
    <mergeCell ref="L113:N113"/>
    <mergeCell ref="B114:D114"/>
    <mergeCell ref="L114:N114"/>
    <mergeCell ref="B115:C115"/>
    <mergeCell ref="L115:M115"/>
    <mergeCell ref="L109:M109"/>
    <mergeCell ref="P109:Q109"/>
    <mergeCell ref="F110:G110"/>
    <mergeCell ref="P110:Q110"/>
    <mergeCell ref="B112:D112"/>
    <mergeCell ref="F112:G112"/>
    <mergeCell ref="L112:N112"/>
    <mergeCell ref="P112:Q112"/>
    <mergeCell ref="B101:D101"/>
    <mergeCell ref="B102:D102"/>
    <mergeCell ref="B103:C103"/>
    <mergeCell ref="B104:D104"/>
    <mergeCell ref="F104:G104"/>
    <mergeCell ref="B109:C109"/>
    <mergeCell ref="F109:G109"/>
    <mergeCell ref="D95:E95"/>
    <mergeCell ref="B97:C97"/>
    <mergeCell ref="F97:G97"/>
    <mergeCell ref="F98:G98"/>
    <mergeCell ref="B100:D100"/>
    <mergeCell ref="F100:G100"/>
    <mergeCell ref="A79:J79"/>
    <mergeCell ref="A82:I82"/>
    <mergeCell ref="A84:H84"/>
    <mergeCell ref="A85:J85"/>
    <mergeCell ref="A89:J89"/>
    <mergeCell ref="A90:J90"/>
    <mergeCell ref="A74:E74"/>
    <mergeCell ref="A75:F75"/>
    <mergeCell ref="I75:J75"/>
    <mergeCell ref="I76:J76"/>
    <mergeCell ref="I77:J77"/>
    <mergeCell ref="I78:J78"/>
    <mergeCell ref="A65:J65"/>
    <mergeCell ref="A67:I67"/>
    <mergeCell ref="A69:E69"/>
    <mergeCell ref="I69:J69"/>
    <mergeCell ref="C70:F70"/>
    <mergeCell ref="C71:F71"/>
    <mergeCell ref="C54:F54"/>
    <mergeCell ref="C55:F55"/>
    <mergeCell ref="C58:F58"/>
    <mergeCell ref="C60:G60"/>
    <mergeCell ref="C62:E62"/>
    <mergeCell ref="C63:F63"/>
    <mergeCell ref="A49:E49"/>
    <mergeCell ref="H50:I50"/>
    <mergeCell ref="C51:F51"/>
    <mergeCell ref="H51:I51"/>
    <mergeCell ref="C52:F52"/>
    <mergeCell ref="C53:F53"/>
    <mergeCell ref="B41:D41"/>
    <mergeCell ref="F41:H41"/>
    <mergeCell ref="A42:E42"/>
    <mergeCell ref="A43:J43"/>
    <mergeCell ref="A45:J45"/>
    <mergeCell ref="A47:J47"/>
    <mergeCell ref="A36:E36"/>
    <mergeCell ref="B37:D37"/>
    <mergeCell ref="E37:F37"/>
    <mergeCell ref="B38:D38"/>
    <mergeCell ref="B39:D39"/>
    <mergeCell ref="B40:D40"/>
    <mergeCell ref="A28:D28"/>
    <mergeCell ref="E28:F28"/>
    <mergeCell ref="A31:F31"/>
    <mergeCell ref="A32:D32"/>
    <mergeCell ref="E32:F32"/>
    <mergeCell ref="A33:D33"/>
    <mergeCell ref="A25:D25"/>
    <mergeCell ref="E25:F25"/>
    <mergeCell ref="A26:D26"/>
    <mergeCell ref="E26:F26"/>
    <mergeCell ref="A27:D27"/>
    <mergeCell ref="E27:F27"/>
    <mergeCell ref="K18:N18"/>
    <mergeCell ref="A19:F19"/>
    <mergeCell ref="A20:F20"/>
    <mergeCell ref="A23:F23"/>
    <mergeCell ref="A24:D24"/>
    <mergeCell ref="E24:F24"/>
    <mergeCell ref="A16:D16"/>
    <mergeCell ref="E16:F16"/>
    <mergeCell ref="K16:N17"/>
    <mergeCell ref="H21:N22"/>
    <mergeCell ref="O16:O17"/>
    <mergeCell ref="P16:P17"/>
    <mergeCell ref="T17:V17"/>
    <mergeCell ref="A14:D14"/>
    <mergeCell ref="E14:F14"/>
    <mergeCell ref="K14:N15"/>
    <mergeCell ref="O14:O15"/>
    <mergeCell ref="P14:P15"/>
    <mergeCell ref="E15:F15"/>
    <mergeCell ref="A11:F11"/>
    <mergeCell ref="K11:N11"/>
    <mergeCell ref="A12:C12"/>
    <mergeCell ref="E12:F12"/>
    <mergeCell ref="K12:N12"/>
    <mergeCell ref="A13:D13"/>
    <mergeCell ref="E13:F13"/>
    <mergeCell ref="K13:N13"/>
    <mergeCell ref="C2:F6"/>
    <mergeCell ref="H3:P5"/>
    <mergeCell ref="F7:H7"/>
    <mergeCell ref="K7:N7"/>
    <mergeCell ref="B8:C8"/>
    <mergeCell ref="I9:P9"/>
    <mergeCell ref="A9:F9"/>
  </mergeCells>
  <conditionalFormatting sqref="P19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{27AFF87C-5F07-48B0-8C46-D2A2955D1463}</x14:id>
        </ext>
      </extLst>
    </cfRule>
  </conditionalFormatting>
  <dataValidations disablePrompts="1" count="3">
    <dataValidation type="list" allowBlank="1" showInputMessage="1" showErrorMessage="1" sqref="F7:H7 T17:V17">
      <formula1>$Q$119:$Q$122</formula1>
    </dataValidation>
    <dataValidation type="list" allowBlank="1" showInputMessage="1" showErrorMessage="1" sqref="L51">
      <formula1>"LINEAR, MÉTODO COLE"</formula1>
    </dataValidation>
    <dataValidation type="list" allowBlank="1" showInputMessage="1" showErrorMessage="1" sqref="E15:F15">
      <formula1>"0,1,2,3,4,5,6,7,8,9,10,11,12,13,14,15"</formula1>
    </dataValidation>
  </dataValidations>
  <pageMargins left="0.51181102362204722" right="0.51181102362204722" top="0.78740157480314965" bottom="0.78740157480314965" header="0.31496062992125984" footer="0.31496062992125984"/>
  <pageSetup paperSize="9" scale="50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7AFF87C-5F07-48B0-8C46-D2A2955D146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P19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47">
    <tabColor rgb="FF0070C0"/>
  </sheetPr>
  <dimension ref="A2:V160"/>
  <sheetViews>
    <sheetView tabSelected="1" view="pageBreakPreview" topLeftCell="A53" zoomScale="85" zoomScaleNormal="100" zoomScaleSheetLayoutView="85" workbookViewId="0">
      <selection activeCell="A57" sqref="A57"/>
    </sheetView>
  </sheetViews>
  <sheetFormatPr defaultColWidth="8.85546875" defaultRowHeight="15" x14ac:dyDescent="0.25"/>
  <cols>
    <col min="2" max="2" width="14.140625" customWidth="1"/>
    <col min="3" max="3" width="15.28515625" customWidth="1"/>
    <col min="5" max="5" width="12.42578125" customWidth="1"/>
    <col min="6" max="6" width="13.5703125" customWidth="1"/>
    <col min="7" max="7" width="12.140625" customWidth="1"/>
    <col min="9" max="9" width="10.7109375" customWidth="1"/>
    <col min="10" max="10" width="12.140625" bestFit="1" customWidth="1"/>
    <col min="11" max="11" width="16.42578125" bestFit="1" customWidth="1"/>
    <col min="12" max="12" width="14.42578125" customWidth="1"/>
    <col min="14" max="14" width="6.42578125" customWidth="1"/>
    <col min="15" max="15" width="9" customWidth="1"/>
    <col min="16" max="16" width="10.42578125" customWidth="1"/>
    <col min="17" max="17" width="15.140625" customWidth="1"/>
    <col min="18" max="18" width="14.7109375" bestFit="1" customWidth="1"/>
    <col min="19" max="19" width="19.42578125" bestFit="1" customWidth="1"/>
  </cols>
  <sheetData>
    <row r="2" spans="1:19" x14ac:dyDescent="0.25">
      <c r="C2" s="239" t="s">
        <v>151</v>
      </c>
      <c r="D2" s="240"/>
      <c r="E2" s="240"/>
      <c r="F2" s="240"/>
    </row>
    <row r="3" spans="1:19" x14ac:dyDescent="0.25">
      <c r="C3" s="240"/>
      <c r="D3" s="240"/>
      <c r="E3" s="240"/>
      <c r="F3" s="240"/>
      <c r="H3" s="241" t="s">
        <v>64</v>
      </c>
      <c r="I3" s="239"/>
      <c r="J3" s="239"/>
      <c r="K3" s="239"/>
      <c r="L3" s="239"/>
      <c r="M3" s="239"/>
      <c r="N3" s="239"/>
      <c r="O3" s="239"/>
      <c r="P3" s="239"/>
    </row>
    <row r="4" spans="1:19" x14ac:dyDescent="0.25">
      <c r="C4" s="240"/>
      <c r="D4" s="240"/>
      <c r="E4" s="240"/>
      <c r="F4" s="240"/>
      <c r="H4" s="239"/>
      <c r="I4" s="239"/>
      <c r="J4" s="239"/>
      <c r="K4" s="239"/>
      <c r="L4" s="239"/>
      <c r="M4" s="239"/>
      <c r="N4" s="239"/>
      <c r="O4" s="239"/>
      <c r="P4" s="239"/>
    </row>
    <row r="5" spans="1:19" x14ac:dyDescent="0.25">
      <c r="C5" s="240"/>
      <c r="D5" s="240"/>
      <c r="E5" s="240"/>
      <c r="F5" s="240"/>
      <c r="H5" s="239"/>
      <c r="I5" s="239"/>
      <c r="J5" s="239"/>
      <c r="K5" s="239"/>
      <c r="L5" s="239"/>
      <c r="M5" s="239"/>
      <c r="N5" s="239"/>
      <c r="O5" s="239"/>
      <c r="P5" s="239"/>
    </row>
    <row r="6" spans="1:19" x14ac:dyDescent="0.25">
      <c r="C6" s="240"/>
      <c r="D6" s="240"/>
      <c r="E6" s="240"/>
      <c r="F6" s="240"/>
    </row>
    <row r="7" spans="1:19" ht="21" x14ac:dyDescent="0.35">
      <c r="E7" s="18" t="s">
        <v>80</v>
      </c>
      <c r="F7" s="235" t="s">
        <v>65</v>
      </c>
      <c r="G7" s="235"/>
      <c r="H7" s="235"/>
      <c r="K7" s="242" t="s">
        <v>286</v>
      </c>
      <c r="L7" s="243"/>
      <c r="M7" s="243"/>
      <c r="N7" s="243"/>
    </row>
    <row r="8" spans="1:19" ht="15.75" x14ac:dyDescent="0.25">
      <c r="B8" s="194"/>
      <c r="C8" s="194"/>
      <c r="D8" s="8"/>
      <c r="E8" s="8"/>
      <c r="F8" s="8"/>
      <c r="J8" s="9"/>
    </row>
    <row r="9" spans="1:19" ht="21" x14ac:dyDescent="0.35">
      <c r="A9" s="235" t="s">
        <v>352</v>
      </c>
      <c r="B9" s="235"/>
      <c r="C9" s="235"/>
      <c r="D9" s="235"/>
      <c r="E9" s="235"/>
      <c r="F9" s="235"/>
      <c r="I9" s="244" t="s">
        <v>157</v>
      </c>
      <c r="J9" s="244"/>
      <c r="K9" s="244"/>
      <c r="L9" s="244"/>
      <c r="M9" s="244"/>
      <c r="N9" s="244"/>
      <c r="O9" s="244"/>
      <c r="P9" s="244"/>
      <c r="R9" s="9" t="s">
        <v>155</v>
      </c>
      <c r="S9" s="9" t="s">
        <v>156</v>
      </c>
    </row>
    <row r="10" spans="1:19" x14ac:dyDescent="0.25">
      <c r="R10" s="2">
        <f>K43</f>
        <v>5445.9546748643061</v>
      </c>
      <c r="S10" s="43">
        <f>K45</f>
        <v>6993.0916869577277</v>
      </c>
    </row>
    <row r="11" spans="1:19" ht="17.25" x14ac:dyDescent="0.3">
      <c r="A11" s="236" t="s">
        <v>150</v>
      </c>
      <c r="B11" s="237"/>
      <c r="C11" s="237"/>
      <c r="D11" s="237"/>
      <c r="E11" s="237"/>
      <c r="F11" s="238"/>
      <c r="G11" s="40" t="s">
        <v>0</v>
      </c>
      <c r="K11" s="206" t="s">
        <v>15</v>
      </c>
      <c r="L11" s="206"/>
      <c r="M11" s="206"/>
      <c r="N11" s="206"/>
      <c r="O11" s="161">
        <f>O12+O13</f>
        <v>113.8</v>
      </c>
      <c r="P11" s="47" t="s">
        <v>14</v>
      </c>
      <c r="R11" s="130">
        <f>K65/O18*O14</f>
        <v>9047.1673095545102</v>
      </c>
      <c r="S11" s="130">
        <f>K65/O18*O16</f>
        <v>10089.777668648154</v>
      </c>
    </row>
    <row r="12" spans="1:19" ht="15.75" x14ac:dyDescent="0.25">
      <c r="A12" s="214" t="s">
        <v>107</v>
      </c>
      <c r="B12" s="215"/>
      <c r="C12" s="215"/>
      <c r="D12" s="48"/>
      <c r="E12" s="218">
        <f>Insumos!$B$4</f>
        <v>531068.38</v>
      </c>
      <c r="F12" s="218"/>
      <c r="G12" s="1"/>
      <c r="K12" s="206" t="s">
        <v>136</v>
      </c>
      <c r="L12" s="206"/>
      <c r="M12" s="206"/>
      <c r="N12" s="206"/>
      <c r="O12" s="150">
        <v>53.8</v>
      </c>
      <c r="P12" s="47" t="s">
        <v>14</v>
      </c>
      <c r="R12" s="2">
        <f>K72/O18*O14</f>
        <v>1010.0774502468453</v>
      </c>
      <c r="S12" s="2">
        <f>K72/O18*O16</f>
        <v>1126.4804277845858</v>
      </c>
    </row>
    <row r="13" spans="1:19" ht="15.75" x14ac:dyDescent="0.25">
      <c r="A13" s="214" t="s">
        <v>285</v>
      </c>
      <c r="B13" s="215"/>
      <c r="C13" s="215"/>
      <c r="D13" s="216"/>
      <c r="E13" s="198">
        <f>'DEPRECIAÇÃO LINEAR'!D15</f>
        <v>10</v>
      </c>
      <c r="F13" s="198"/>
      <c r="K13" s="206" t="s">
        <v>137</v>
      </c>
      <c r="L13" s="206"/>
      <c r="M13" s="206"/>
      <c r="N13" s="206"/>
      <c r="O13" s="150">
        <v>60</v>
      </c>
      <c r="P13" s="47" t="s">
        <v>14</v>
      </c>
      <c r="R13" s="2">
        <f>K79/O18*O14</f>
        <v>1509.1734728541494</v>
      </c>
      <c r="S13" s="2">
        <f>K79/O18*O16</f>
        <v>1683.0930924023971</v>
      </c>
    </row>
    <row r="14" spans="1:19" ht="15" customHeight="1" x14ac:dyDescent="0.25">
      <c r="A14" s="214" t="s">
        <v>23</v>
      </c>
      <c r="B14" s="215"/>
      <c r="C14" s="215"/>
      <c r="D14" s="216"/>
      <c r="E14" s="219">
        <v>2026</v>
      </c>
      <c r="F14" s="220"/>
      <c r="K14" s="223" t="s">
        <v>138</v>
      </c>
      <c r="L14" s="223"/>
      <c r="M14" s="223"/>
      <c r="N14" s="223"/>
      <c r="O14" s="232">
        <f>O12*21</f>
        <v>1129.8</v>
      </c>
      <c r="P14" s="234" t="s">
        <v>14</v>
      </c>
      <c r="R14" s="2">
        <f>SUM(R10:R13)</f>
        <v>17012.37290751981</v>
      </c>
      <c r="S14" s="2">
        <f>SUM(S10:S13)</f>
        <v>19892.442875792865</v>
      </c>
    </row>
    <row r="15" spans="1:19" ht="15.75" customHeight="1" x14ac:dyDescent="0.25">
      <c r="A15" s="49" t="s">
        <v>79</v>
      </c>
      <c r="B15" s="48"/>
      <c r="C15" s="48"/>
      <c r="D15" s="48"/>
      <c r="E15" s="198">
        <v>0</v>
      </c>
      <c r="F15" s="198"/>
      <c r="G15" s="41" t="s">
        <v>128</v>
      </c>
      <c r="I15" s="28"/>
      <c r="J15" s="28"/>
      <c r="K15" s="223"/>
      <c r="L15" s="223"/>
      <c r="M15" s="223"/>
      <c r="N15" s="223"/>
      <c r="O15" s="233"/>
      <c r="P15" s="234"/>
      <c r="R15" s="31">
        <f>IFERROR(R14/O14,0)</f>
        <v>15.057862371676235</v>
      </c>
      <c r="S15" s="31">
        <f>IFERROR(S14/O16,0)</f>
        <v>15.787653076026084</v>
      </c>
    </row>
    <row r="16" spans="1:19" ht="15" customHeight="1" x14ac:dyDescent="0.25">
      <c r="A16" s="214" t="s">
        <v>84</v>
      </c>
      <c r="B16" s="215"/>
      <c r="C16" s="215"/>
      <c r="D16" s="215"/>
      <c r="E16" s="198" t="str">
        <f>IF($F$7=$D$95,F104,IF($F$7=$D$107,F116,IF($F$7=$N$95,Q104,IF($F$7=$O$107,P116,""))))</f>
        <v>ATÉ 59 ALUNOS</v>
      </c>
      <c r="F16" s="198"/>
      <c r="I16" s="28"/>
      <c r="J16" s="28"/>
      <c r="K16" s="223" t="s">
        <v>139</v>
      </c>
      <c r="L16" s="223"/>
      <c r="M16" s="223"/>
      <c r="N16" s="223"/>
      <c r="O16" s="232">
        <f>O13*21</f>
        <v>1260</v>
      </c>
      <c r="P16" s="234" t="s">
        <v>14</v>
      </c>
    </row>
    <row r="17" spans="1:22" ht="15" customHeight="1" x14ac:dyDescent="0.35">
      <c r="I17" s="28"/>
      <c r="J17" s="28"/>
      <c r="K17" s="223"/>
      <c r="L17" s="223"/>
      <c r="M17" s="223"/>
      <c r="N17" s="223"/>
      <c r="O17" s="233"/>
      <c r="P17" s="234"/>
      <c r="R17" s="2">
        <f>R14+S14</f>
        <v>36904.815783312675</v>
      </c>
      <c r="T17" s="235"/>
      <c r="U17" s="235"/>
      <c r="V17" s="235"/>
    </row>
    <row r="18" spans="1:22" ht="15" customHeight="1" x14ac:dyDescent="0.25">
      <c r="I18" s="28"/>
      <c r="J18" s="28"/>
      <c r="K18" s="223" t="s">
        <v>140</v>
      </c>
      <c r="L18" s="223"/>
      <c r="M18" s="223"/>
      <c r="N18" s="223"/>
      <c r="O18" s="46">
        <f>O16+O14</f>
        <v>2389.8000000000002</v>
      </c>
      <c r="P18" s="47" t="s">
        <v>14</v>
      </c>
      <c r="R18" s="2">
        <f>R17/O18</f>
        <v>15.442637786974924</v>
      </c>
    </row>
    <row r="19" spans="1:22" ht="15.75" customHeight="1" thickBot="1" x14ac:dyDescent="0.35">
      <c r="A19" s="224" t="s">
        <v>1</v>
      </c>
      <c r="B19" s="225"/>
      <c r="C19" s="225"/>
      <c r="D19" s="225"/>
      <c r="E19" s="225"/>
      <c r="F19" s="225"/>
      <c r="I19" s="29"/>
      <c r="J19" s="29"/>
      <c r="K19" s="29"/>
      <c r="L19" s="29"/>
      <c r="M19" s="29"/>
    </row>
    <row r="20" spans="1:22" ht="15" customHeight="1" x14ac:dyDescent="0.25">
      <c r="A20" s="206" t="s">
        <v>106</v>
      </c>
      <c r="B20" s="206"/>
      <c r="C20" s="206"/>
      <c r="D20" s="206"/>
      <c r="E20" s="206"/>
      <c r="F20" s="206"/>
      <c r="H20" s="226" t="s">
        <v>304</v>
      </c>
      <c r="I20" s="227"/>
      <c r="J20" s="227"/>
      <c r="K20" s="227"/>
      <c r="L20" s="227"/>
      <c r="M20" s="227"/>
      <c r="N20" s="228"/>
      <c r="O20" s="93">
        <f>K90</f>
        <v>15.442637786974924</v>
      </c>
      <c r="R20" s="93">
        <f>K90</f>
        <v>15.442637786974924</v>
      </c>
    </row>
    <row r="21" spans="1:22" ht="15.75" thickBot="1" x14ac:dyDescent="0.3">
      <c r="H21" s="229"/>
      <c r="I21" s="230"/>
      <c r="J21" s="230"/>
      <c r="K21" s="230"/>
      <c r="L21" s="230"/>
      <c r="M21" s="230"/>
      <c r="N21" s="231"/>
      <c r="O21" s="2"/>
    </row>
    <row r="23" spans="1:22" ht="17.25" x14ac:dyDescent="0.3">
      <c r="A23" s="224" t="s">
        <v>2</v>
      </c>
      <c r="B23" s="225"/>
      <c r="C23" s="225"/>
      <c r="D23" s="225"/>
      <c r="E23" s="225"/>
      <c r="F23" s="225"/>
      <c r="L23" s="2"/>
    </row>
    <row r="24" spans="1:22" ht="15.75" x14ac:dyDescent="0.25">
      <c r="A24" s="214" t="s">
        <v>11</v>
      </c>
      <c r="B24" s="215"/>
      <c r="C24" s="215"/>
      <c r="D24" s="215"/>
      <c r="E24" s="198">
        <f>IF($F$7=$D$95,F100,IF($F$7=$D$107,F112,IF($F$7=$N$95,Q100,IF($F$7=$O$107,P112,""))))</f>
        <v>6</v>
      </c>
      <c r="F24" s="198"/>
    </row>
    <row r="25" spans="1:22" ht="15.75" x14ac:dyDescent="0.25">
      <c r="A25" s="214" t="s">
        <v>9</v>
      </c>
      <c r="B25" s="215"/>
      <c r="C25" s="215"/>
      <c r="D25" s="216"/>
      <c r="E25" s="218">
        <f>Insumos!$B$5</f>
        <v>2453.2399999999998</v>
      </c>
      <c r="F25" s="218"/>
    </row>
    <row r="26" spans="1:22" ht="15.75" x14ac:dyDescent="0.25">
      <c r="A26" s="214" t="s">
        <v>147</v>
      </c>
      <c r="B26" s="215"/>
      <c r="C26" s="215"/>
      <c r="D26" s="216"/>
      <c r="E26" s="219">
        <v>2</v>
      </c>
      <c r="F26" s="220"/>
    </row>
    <row r="27" spans="1:22" ht="15.75" x14ac:dyDescent="0.25">
      <c r="A27" s="214" t="s">
        <v>148</v>
      </c>
      <c r="B27" s="215"/>
      <c r="C27" s="215"/>
      <c r="D27" s="216"/>
      <c r="E27" s="221">
        <f>Insumos!$B$6</f>
        <v>975.83</v>
      </c>
      <c r="F27" s="222"/>
    </row>
    <row r="28" spans="1:22" ht="15.75" x14ac:dyDescent="0.25">
      <c r="A28" s="214" t="s">
        <v>149</v>
      </c>
      <c r="B28" s="215"/>
      <c r="C28" s="215"/>
      <c r="D28" s="216"/>
      <c r="E28" s="217">
        <v>100000</v>
      </c>
      <c r="F28" s="217"/>
    </row>
    <row r="31" spans="1:22" ht="15.75" x14ac:dyDescent="0.25">
      <c r="A31" s="191" t="s">
        <v>3</v>
      </c>
      <c r="B31" s="192"/>
      <c r="C31" s="192"/>
      <c r="D31" s="192"/>
      <c r="E31" s="192"/>
      <c r="F31" s="192"/>
    </row>
    <row r="32" spans="1:22" ht="15.75" x14ac:dyDescent="0.25">
      <c r="A32" s="214" t="s">
        <v>19</v>
      </c>
      <c r="B32" s="215"/>
      <c r="C32" s="215"/>
      <c r="D32" s="216"/>
      <c r="E32" s="218">
        <f>Insumos!$B$7</f>
        <v>7.6</v>
      </c>
      <c r="F32" s="218"/>
    </row>
    <row r="33" spans="1:14" ht="15.75" x14ac:dyDescent="0.25">
      <c r="A33" s="214" t="s">
        <v>17</v>
      </c>
      <c r="B33" s="215"/>
      <c r="C33" s="215"/>
      <c r="D33" s="216"/>
      <c r="E33" s="46">
        <f>IF($F$7=$D$95,G103,IF($F$7=$D$107,G115,IF($F$7=$N$95,Q103,IF($F$7=$O$107,Q115,""))))</f>
        <v>2.6</v>
      </c>
      <c r="F33" s="50" t="s">
        <v>18</v>
      </c>
    </row>
    <row r="36" spans="1:14" ht="17.25" x14ac:dyDescent="0.3">
      <c r="A36" s="208" t="s">
        <v>20</v>
      </c>
      <c r="B36" s="209"/>
      <c r="C36" s="209"/>
      <c r="D36" s="209"/>
      <c r="E36" s="209"/>
    </row>
    <row r="37" spans="1:14" x14ac:dyDescent="0.25">
      <c r="B37" s="210"/>
      <c r="C37" s="210"/>
      <c r="D37" s="211"/>
      <c r="E37" s="212" t="s">
        <v>4</v>
      </c>
      <c r="F37" s="213"/>
    </row>
    <row r="38" spans="1:14" ht="15.75" x14ac:dyDescent="0.25">
      <c r="A38" s="46" t="s">
        <v>346</v>
      </c>
      <c r="B38" s="214" t="s">
        <v>52</v>
      </c>
      <c r="C38" s="215"/>
      <c r="D38" s="216"/>
      <c r="E38" s="46">
        <f>1/E33</f>
        <v>0.38461538461538458</v>
      </c>
      <c r="F38" s="7" t="s">
        <v>5</v>
      </c>
      <c r="G38" s="7"/>
      <c r="H38" s="7"/>
      <c r="I38" s="7"/>
      <c r="J38" s="7"/>
      <c r="K38" s="58">
        <f>E32*E38</f>
        <v>2.9230769230769225</v>
      </c>
      <c r="L38" s="51" t="s">
        <v>13</v>
      </c>
      <c r="N38" s="2"/>
    </row>
    <row r="39" spans="1:14" ht="15.75" x14ac:dyDescent="0.25">
      <c r="A39" s="46" t="s">
        <v>6</v>
      </c>
      <c r="B39" s="206" t="s">
        <v>152</v>
      </c>
      <c r="C39" s="206"/>
      <c r="D39" s="206"/>
      <c r="E39" s="46">
        <v>0.04</v>
      </c>
      <c r="F39" s="7" t="s">
        <v>5</v>
      </c>
      <c r="G39" s="7"/>
      <c r="H39" s="7"/>
      <c r="I39" s="7"/>
      <c r="J39" s="7"/>
      <c r="K39" s="58">
        <f>E39*E32</f>
        <v>0.30399999999999999</v>
      </c>
      <c r="L39" s="51" t="s">
        <v>13</v>
      </c>
    </row>
    <row r="40" spans="1:14" ht="15.75" x14ac:dyDescent="0.25">
      <c r="A40" s="46" t="s">
        <v>7</v>
      </c>
      <c r="B40" s="206" t="s">
        <v>8</v>
      </c>
      <c r="C40" s="206"/>
      <c r="D40" s="206"/>
      <c r="E40" s="46"/>
      <c r="F40" s="7"/>
      <c r="G40" s="7"/>
      <c r="H40" s="7"/>
      <c r="I40" s="7"/>
      <c r="J40" s="7"/>
      <c r="K40" s="58">
        <f>((E25*E24)+(E26*E24*E27))/E28</f>
        <v>0.26429400000000003</v>
      </c>
      <c r="L40" s="51" t="s">
        <v>13</v>
      </c>
    </row>
    <row r="41" spans="1:14" ht="15.75" x14ac:dyDescent="0.25">
      <c r="A41" s="46" t="s">
        <v>12</v>
      </c>
      <c r="B41" s="206" t="s">
        <v>153</v>
      </c>
      <c r="C41" s="206"/>
      <c r="D41" s="206"/>
      <c r="E41" s="70">
        <v>3.0000000000000001E-6</v>
      </c>
      <c r="F41" s="193" t="s">
        <v>10</v>
      </c>
      <c r="G41" s="193"/>
      <c r="H41" s="193"/>
      <c r="I41" s="7"/>
      <c r="J41" s="7"/>
      <c r="K41" s="58">
        <f>(E41*E12)-(K40)</f>
        <v>1.32891114</v>
      </c>
      <c r="L41" s="51" t="s">
        <v>13</v>
      </c>
    </row>
    <row r="42" spans="1:14" ht="15.75" x14ac:dyDescent="0.25">
      <c r="A42" s="207"/>
      <c r="B42" s="207"/>
      <c r="C42" s="207"/>
      <c r="D42" s="207"/>
      <c r="E42" s="207"/>
      <c r="F42" s="7"/>
      <c r="G42" s="7"/>
      <c r="H42" s="7"/>
      <c r="I42" s="7"/>
      <c r="J42" s="7"/>
      <c r="K42" s="58">
        <f>SUM(K38:K41)</f>
        <v>4.8202820630769221</v>
      </c>
      <c r="L42" s="51" t="s">
        <v>13</v>
      </c>
    </row>
    <row r="43" spans="1:14" ht="21" customHeight="1" x14ac:dyDescent="0.25">
      <c r="A43" s="200" t="s">
        <v>144</v>
      </c>
      <c r="B43" s="200"/>
      <c r="C43" s="200"/>
      <c r="D43" s="200"/>
      <c r="E43" s="200"/>
      <c r="F43" s="200"/>
      <c r="G43" s="200"/>
      <c r="H43" s="200"/>
      <c r="I43" s="200"/>
      <c r="J43" s="200"/>
      <c r="K43" s="68">
        <f>K42*O14</f>
        <v>5445.9546748643061</v>
      </c>
      <c r="L43" s="52" t="s">
        <v>16</v>
      </c>
    </row>
    <row r="45" spans="1:14" ht="18.75" x14ac:dyDescent="0.3">
      <c r="A45" s="190" t="s">
        <v>145</v>
      </c>
      <c r="B45" s="190"/>
      <c r="C45" s="190"/>
      <c r="D45" s="190"/>
      <c r="E45" s="190"/>
      <c r="F45" s="190"/>
      <c r="G45" s="190"/>
      <c r="H45" s="190"/>
      <c r="I45" s="190"/>
      <c r="J45" s="190"/>
      <c r="K45" s="65">
        <f>K42*O16*1.1514</f>
        <v>6993.0916869577277</v>
      </c>
      <c r="L45" s="53" t="s">
        <v>16</v>
      </c>
    </row>
    <row r="46" spans="1:14" ht="15.75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</row>
    <row r="47" spans="1:14" ht="18.75" x14ac:dyDescent="0.3">
      <c r="A47" s="190" t="s">
        <v>146</v>
      </c>
      <c r="B47" s="190"/>
      <c r="C47" s="190"/>
      <c r="D47" s="190"/>
      <c r="E47" s="190"/>
      <c r="F47" s="190"/>
      <c r="G47" s="190"/>
      <c r="H47" s="190"/>
      <c r="I47" s="190"/>
      <c r="J47" s="190"/>
      <c r="K47" s="65">
        <f>K43+K45</f>
        <v>12439.046361822035</v>
      </c>
      <c r="L47" s="54" t="s">
        <v>16</v>
      </c>
    </row>
    <row r="49" spans="1:12" ht="15.75" x14ac:dyDescent="0.25">
      <c r="A49" s="197" t="s">
        <v>21</v>
      </c>
      <c r="B49" s="204"/>
      <c r="C49" s="204"/>
      <c r="D49" s="204"/>
      <c r="E49" s="204"/>
      <c r="F49" s="7"/>
      <c r="G49" s="7"/>
      <c r="H49" s="7"/>
      <c r="I49" s="7"/>
      <c r="J49" s="7"/>
      <c r="K49" s="7"/>
      <c r="L49" s="7"/>
    </row>
    <row r="50" spans="1:12" ht="15.75" x14ac:dyDescent="0.25">
      <c r="A50" s="3"/>
      <c r="B50" s="45"/>
      <c r="C50" s="45"/>
      <c r="D50" s="45"/>
      <c r="E50" s="45"/>
      <c r="F50" s="7"/>
      <c r="G50" s="7"/>
      <c r="H50" s="205" t="s">
        <v>25</v>
      </c>
      <c r="I50" s="205"/>
      <c r="J50" s="7"/>
      <c r="K50" s="7"/>
      <c r="L50" s="7"/>
    </row>
    <row r="51" spans="1:12" ht="15.75" x14ac:dyDescent="0.25">
      <c r="A51" s="7" t="s">
        <v>22</v>
      </c>
      <c r="B51" s="7"/>
      <c r="C51" s="193" t="s">
        <v>24</v>
      </c>
      <c r="D51" s="193"/>
      <c r="E51" s="193"/>
      <c r="F51" s="193"/>
      <c r="G51" s="7"/>
      <c r="H51" s="195"/>
      <c r="I51" s="195"/>
      <c r="J51" s="58"/>
      <c r="K51" s="59">
        <f>IF(L51="LINEAR",'DEPRECIAÇÃO LINEAR'!H23,(VLOOKUP(E15,'DEPRECIAÇÃO LINEAR'!W12:AM25,17,0)))</f>
        <v>3983.0128500000005</v>
      </c>
      <c r="L51" s="55" t="s">
        <v>130</v>
      </c>
    </row>
    <row r="52" spans="1:12" ht="15.75" x14ac:dyDescent="0.25">
      <c r="A52" s="7" t="s">
        <v>26</v>
      </c>
      <c r="B52" s="7"/>
      <c r="C52" s="193" t="s">
        <v>27</v>
      </c>
      <c r="D52" s="193"/>
      <c r="E52" s="193"/>
      <c r="F52" s="193"/>
      <c r="G52" s="7"/>
      <c r="H52" s="7"/>
      <c r="I52" s="7"/>
      <c r="J52" s="58"/>
      <c r="K52" s="58"/>
      <c r="L52" s="7"/>
    </row>
    <row r="53" spans="1:12" ht="15.75" x14ac:dyDescent="0.25">
      <c r="A53" s="7"/>
      <c r="B53" s="7" t="s">
        <v>31</v>
      </c>
      <c r="C53" s="193" t="s">
        <v>28</v>
      </c>
      <c r="D53" s="193"/>
      <c r="E53" s="193"/>
      <c r="F53" s="193"/>
      <c r="G53" s="7"/>
      <c r="H53" s="7"/>
      <c r="I53" s="7"/>
      <c r="J53" s="58"/>
      <c r="K53" s="58">
        <f>'Motorista de Veiculo Pesado'!E90</f>
        <v>8468.4608078400015</v>
      </c>
      <c r="L53" s="7"/>
    </row>
    <row r="54" spans="1:12" ht="15.75" x14ac:dyDescent="0.25">
      <c r="A54" s="7"/>
      <c r="B54" s="7" t="s">
        <v>32</v>
      </c>
      <c r="C54" s="193" t="s">
        <v>29</v>
      </c>
      <c r="D54" s="193"/>
      <c r="E54" s="193"/>
      <c r="F54" s="193"/>
      <c r="G54" s="7"/>
      <c r="H54" s="7"/>
      <c r="I54" s="7"/>
      <c r="J54" s="58"/>
      <c r="K54" s="58">
        <f>'Monitor de Transporte Escolar'!E90</f>
        <v>4485.726463695999</v>
      </c>
      <c r="L54" s="7"/>
    </row>
    <row r="55" spans="1:12" ht="15.75" x14ac:dyDescent="0.25">
      <c r="A55" s="7" t="s">
        <v>30</v>
      </c>
      <c r="B55" s="7"/>
      <c r="C55" s="193" t="s">
        <v>34</v>
      </c>
      <c r="D55" s="193"/>
      <c r="E55" s="193"/>
      <c r="F55" s="193"/>
      <c r="G55" s="7"/>
      <c r="H55" s="7"/>
      <c r="I55" s="7"/>
      <c r="J55" s="58"/>
      <c r="K55" s="58"/>
      <c r="L55" s="56"/>
    </row>
    <row r="56" spans="1:12" ht="15.75" x14ac:dyDescent="0.25">
      <c r="A56" s="7"/>
      <c r="B56" s="7" t="s">
        <v>33</v>
      </c>
      <c r="C56" s="7" t="s">
        <v>35</v>
      </c>
      <c r="D56" s="7"/>
      <c r="E56" s="7"/>
      <c r="F56" s="7"/>
      <c r="G56" s="7"/>
      <c r="H56" s="7"/>
      <c r="I56" s="7"/>
      <c r="J56" s="58">
        <f>1/100*E12</f>
        <v>5310.6837999999998</v>
      </c>
      <c r="K56" s="58">
        <f>J56/12</f>
        <v>442.55698333333333</v>
      </c>
      <c r="L56" s="7"/>
    </row>
    <row r="57" spans="1:12" ht="15.75" x14ac:dyDescent="0.25">
      <c r="A57" s="7"/>
      <c r="B57" s="7" t="s">
        <v>36</v>
      </c>
      <c r="C57" s="7" t="s">
        <v>37</v>
      </c>
      <c r="D57" s="7"/>
      <c r="E57" s="7"/>
      <c r="F57" s="7"/>
      <c r="G57" s="7"/>
      <c r="H57" s="7"/>
      <c r="I57" s="7"/>
      <c r="J57" s="58">
        <v>230.25</v>
      </c>
      <c r="K57" s="58">
        <f>J57/12</f>
        <v>19.1875</v>
      </c>
      <c r="L57" s="7"/>
    </row>
    <row r="58" spans="1:12" ht="15.75" x14ac:dyDescent="0.25">
      <c r="A58" s="7"/>
      <c r="B58" s="7" t="s">
        <v>38</v>
      </c>
      <c r="C58" s="193" t="s">
        <v>39</v>
      </c>
      <c r="D58" s="193"/>
      <c r="E58" s="193"/>
      <c r="F58" s="193"/>
      <c r="G58" s="7"/>
      <c r="H58" s="7"/>
      <c r="I58" s="7"/>
      <c r="J58" s="58">
        <v>161.80000000000001</v>
      </c>
      <c r="K58" s="58">
        <f>J58/12</f>
        <v>13.483333333333334</v>
      </c>
      <c r="L58" s="7"/>
    </row>
    <row r="59" spans="1:12" ht="15.75" x14ac:dyDescent="0.25">
      <c r="A59" s="7" t="s">
        <v>41</v>
      </c>
      <c r="B59" s="7"/>
      <c r="C59" s="7" t="s">
        <v>40</v>
      </c>
      <c r="D59" s="7"/>
      <c r="E59" s="7"/>
      <c r="F59" s="7"/>
      <c r="G59" s="7"/>
      <c r="H59" s="7"/>
      <c r="I59" s="7"/>
      <c r="J59" s="58">
        <v>0</v>
      </c>
      <c r="K59" s="58">
        <f>J59/12</f>
        <v>0</v>
      </c>
      <c r="L59" s="7"/>
    </row>
    <row r="60" spans="1:12" ht="15.75" x14ac:dyDescent="0.25">
      <c r="A60" s="7" t="s">
        <v>57</v>
      </c>
      <c r="B60" s="7"/>
      <c r="C60" s="193" t="s">
        <v>58</v>
      </c>
      <c r="D60" s="193"/>
      <c r="E60" s="193"/>
      <c r="F60" s="193"/>
      <c r="G60" s="193"/>
      <c r="H60" s="7"/>
      <c r="I60" s="7"/>
      <c r="J60" s="58">
        <f>Insumos!$B$8</f>
        <v>350.88</v>
      </c>
      <c r="K60" s="58">
        <f>4*J60</f>
        <v>1403.52</v>
      </c>
      <c r="L60" s="7"/>
    </row>
    <row r="61" spans="1:12" ht="15.75" x14ac:dyDescent="0.25">
      <c r="A61" s="7" t="s">
        <v>60</v>
      </c>
      <c r="B61" s="7"/>
      <c r="C61" s="45" t="s">
        <v>63</v>
      </c>
      <c r="D61" s="45"/>
      <c r="E61" s="45"/>
      <c r="F61" s="45"/>
      <c r="G61" s="45"/>
      <c r="H61" s="7"/>
      <c r="I61" s="7"/>
      <c r="J61" s="58">
        <f>Insumos!$B$9</f>
        <v>2680.95</v>
      </c>
      <c r="K61" s="58">
        <f>J61/12</f>
        <v>223.41249999999999</v>
      </c>
      <c r="L61" s="7"/>
    </row>
    <row r="62" spans="1:12" ht="15.75" x14ac:dyDescent="0.25">
      <c r="A62" s="7" t="s">
        <v>61</v>
      </c>
      <c r="B62" s="7"/>
      <c r="C62" s="193" t="s">
        <v>62</v>
      </c>
      <c r="D62" s="193"/>
      <c r="E62" s="193"/>
      <c r="F62" s="45"/>
      <c r="G62" s="45"/>
      <c r="H62" s="7"/>
      <c r="I62" s="7"/>
      <c r="J62" s="60">
        <f>Insumos!$B$10</f>
        <v>932.23</v>
      </c>
      <c r="K62" s="58">
        <f>J62/12</f>
        <v>77.685833333333335</v>
      </c>
      <c r="L62" s="7"/>
    </row>
    <row r="63" spans="1:12" ht="15.75" x14ac:dyDescent="0.25">
      <c r="A63" s="7" t="s">
        <v>142</v>
      </c>
      <c r="B63" s="7"/>
      <c r="C63" s="203" t="s">
        <v>143</v>
      </c>
      <c r="D63" s="203"/>
      <c r="E63" s="203"/>
      <c r="F63" s="203"/>
      <c r="G63" s="164"/>
      <c r="H63" s="7"/>
      <c r="I63" s="7"/>
      <c r="J63" s="60">
        <f>Insumos!$B$11</f>
        <v>471.82</v>
      </c>
      <c r="K63" s="72">
        <f>J63/24</f>
        <v>19.659166666666668</v>
      </c>
      <c r="L63" s="7"/>
    </row>
    <row r="64" spans="1:12" ht="15.75" x14ac:dyDescent="0.25">
      <c r="A64" s="7" t="s">
        <v>340</v>
      </c>
      <c r="B64" s="7"/>
      <c r="C64" s="165" t="s">
        <v>343</v>
      </c>
      <c r="D64" s="165"/>
      <c r="E64" s="165"/>
      <c r="F64" s="165"/>
      <c r="G64" s="164"/>
      <c r="H64" s="7"/>
      <c r="I64" s="7"/>
      <c r="J64" s="60">
        <f>Insumos!$B$12</f>
        <v>14.372399999999997</v>
      </c>
      <c r="K64" s="72">
        <f>J64/60</f>
        <v>0.23953999999999995</v>
      </c>
      <c r="L64" s="7"/>
    </row>
    <row r="65" spans="1:13" ht="20.25" customHeight="1" x14ac:dyDescent="0.25">
      <c r="A65" s="259" t="s">
        <v>43</v>
      </c>
      <c r="B65" s="260"/>
      <c r="C65" s="260"/>
      <c r="D65" s="260"/>
      <c r="E65" s="260"/>
      <c r="F65" s="260"/>
      <c r="G65" s="260"/>
      <c r="H65" s="260"/>
      <c r="I65" s="260"/>
      <c r="J65" s="261"/>
      <c r="K65" s="67">
        <f>SUM(K51:K64)</f>
        <v>19136.944978202664</v>
      </c>
      <c r="L65" s="57" t="s">
        <v>16</v>
      </c>
      <c r="M65" s="4"/>
    </row>
    <row r="67" spans="1:13" ht="19.5" customHeight="1" x14ac:dyDescent="0.3">
      <c r="A67" s="262" t="s">
        <v>132</v>
      </c>
      <c r="B67" s="263"/>
      <c r="C67" s="263"/>
      <c r="D67" s="263"/>
      <c r="E67" s="263"/>
      <c r="F67" s="263"/>
      <c r="G67" s="263"/>
      <c r="H67" s="263"/>
      <c r="I67" s="264"/>
      <c r="K67" s="66">
        <f>K47+K65</f>
        <v>31575.991340024699</v>
      </c>
    </row>
    <row r="69" spans="1:13" ht="15.75" x14ac:dyDescent="0.25">
      <c r="A69" s="254" t="s">
        <v>133</v>
      </c>
      <c r="B69" s="255"/>
      <c r="C69" s="255"/>
      <c r="D69" s="255"/>
      <c r="E69" s="256"/>
      <c r="I69" s="265" t="s">
        <v>55</v>
      </c>
      <c r="J69" s="266"/>
    </row>
    <row r="70" spans="1:13" ht="15.75" x14ac:dyDescent="0.25">
      <c r="A70" s="7" t="s">
        <v>341</v>
      </c>
      <c r="B70" s="7"/>
      <c r="C70" s="193" t="s">
        <v>54</v>
      </c>
      <c r="D70" s="193"/>
      <c r="E70" s="193"/>
      <c r="F70" s="193"/>
      <c r="G70" s="7"/>
      <c r="H70" s="7"/>
      <c r="I70" s="168">
        <f>Insumos!$B$15</f>
        <v>2.6599999999999999E-2</v>
      </c>
      <c r="J70" s="7"/>
      <c r="K70" s="58">
        <f>I70*K67</f>
        <v>839.92136964465692</v>
      </c>
      <c r="L70" s="7"/>
    </row>
    <row r="71" spans="1:13" ht="15.75" x14ac:dyDescent="0.25">
      <c r="A71" s="7" t="s">
        <v>342</v>
      </c>
      <c r="B71" s="7"/>
      <c r="C71" s="193" t="s">
        <v>59</v>
      </c>
      <c r="D71" s="193"/>
      <c r="E71" s="193"/>
      <c r="F71" s="193"/>
      <c r="G71" s="7"/>
      <c r="H71" s="7"/>
      <c r="I71" s="169">
        <f>Insumos!$B$16</f>
        <v>0.04</v>
      </c>
      <c r="J71" s="7"/>
      <c r="K71" s="58">
        <f>I71*(K67+K70)</f>
        <v>1296.6365083867743</v>
      </c>
      <c r="L71" s="7"/>
    </row>
    <row r="72" spans="1:13" ht="18.75" x14ac:dyDescent="0.3">
      <c r="A72" s="7"/>
      <c r="B72" s="7"/>
      <c r="C72" s="7"/>
      <c r="D72" s="7"/>
      <c r="E72" s="7"/>
      <c r="F72" s="7"/>
      <c r="G72" s="7"/>
      <c r="H72" s="7"/>
      <c r="I72" s="7"/>
      <c r="J72" s="61" t="s">
        <v>131</v>
      </c>
      <c r="K72" s="65">
        <f>SUM(K70:K71)</f>
        <v>2136.5578780314313</v>
      </c>
      <c r="L72" s="54" t="s">
        <v>16</v>
      </c>
    </row>
    <row r="74" spans="1:13" ht="15.75" x14ac:dyDescent="0.25">
      <c r="A74" s="254" t="s">
        <v>134</v>
      </c>
      <c r="B74" s="255"/>
      <c r="C74" s="255"/>
      <c r="D74" s="255"/>
      <c r="E74" s="256"/>
      <c r="F74" s="7"/>
      <c r="G74" s="7"/>
      <c r="H74" s="7"/>
      <c r="I74" s="7"/>
      <c r="J74" s="7"/>
      <c r="K74" s="7"/>
      <c r="L74" s="7"/>
    </row>
    <row r="75" spans="1:13" ht="15.75" x14ac:dyDescent="0.25">
      <c r="A75" s="193" t="s">
        <v>42</v>
      </c>
      <c r="B75" s="193"/>
      <c r="C75" s="193"/>
      <c r="D75" s="193"/>
      <c r="E75" s="193"/>
      <c r="F75" s="193"/>
      <c r="G75" s="7"/>
      <c r="H75" s="7"/>
      <c r="I75" s="219" t="s">
        <v>47</v>
      </c>
      <c r="J75" s="220"/>
      <c r="K75" s="51">
        <f>K67+K72</f>
        <v>33712.549218056127</v>
      </c>
      <c r="L75" s="7"/>
    </row>
    <row r="76" spans="1:13" ht="15.75" x14ac:dyDescent="0.25">
      <c r="A76" s="7" t="s">
        <v>53</v>
      </c>
      <c r="C76" s="7" t="s">
        <v>44</v>
      </c>
      <c r="D76" s="7"/>
      <c r="E76" s="7"/>
      <c r="F76" s="7"/>
      <c r="G76" s="7"/>
      <c r="H76" s="7"/>
      <c r="I76" s="257">
        <f>Insumos!$B$18</f>
        <v>0.05</v>
      </c>
      <c r="J76" s="258"/>
      <c r="K76" s="51">
        <f>$K$75/(1-(SUM($I$76:$J$78)))*I76</f>
        <v>1845.2407891656339</v>
      </c>
      <c r="L76" s="7"/>
    </row>
    <row r="77" spans="1:13" ht="15.75" x14ac:dyDescent="0.25">
      <c r="A77" s="7" t="s">
        <v>344</v>
      </c>
      <c r="C77" s="7" t="s">
        <v>45</v>
      </c>
      <c r="D77" s="7"/>
      <c r="E77" s="7"/>
      <c r="F77" s="7"/>
      <c r="G77" s="7"/>
      <c r="H77" s="7"/>
      <c r="I77" s="257">
        <f>Insumos!$B$19</f>
        <v>6.4999999999999997E-3</v>
      </c>
      <c r="J77" s="258"/>
      <c r="K77" s="51">
        <f>$K$75/(1-(SUM($I$76:$J$78)))*I77</f>
        <v>239.88130259153237</v>
      </c>
      <c r="L77" s="7"/>
    </row>
    <row r="78" spans="1:13" ht="15.75" x14ac:dyDescent="0.25">
      <c r="A78" s="7" t="s">
        <v>345</v>
      </c>
      <c r="C78" s="7" t="s">
        <v>46</v>
      </c>
      <c r="D78" s="7"/>
      <c r="E78" s="7"/>
      <c r="F78" s="7"/>
      <c r="G78" s="7"/>
      <c r="H78" s="7"/>
      <c r="I78" s="257">
        <f>Insumos!$B$20</f>
        <v>0.03</v>
      </c>
      <c r="J78" s="258"/>
      <c r="K78" s="51">
        <f>$K$75/(1-(SUM($I$76:$J$78)))*I78</f>
        <v>1107.1444734993802</v>
      </c>
      <c r="L78" s="7"/>
    </row>
    <row r="79" spans="1:13" ht="21" customHeight="1" x14ac:dyDescent="0.3">
      <c r="A79" s="251" t="s">
        <v>48</v>
      </c>
      <c r="B79" s="252"/>
      <c r="C79" s="252"/>
      <c r="D79" s="252"/>
      <c r="E79" s="252"/>
      <c r="F79" s="252"/>
      <c r="G79" s="252"/>
      <c r="H79" s="252"/>
      <c r="I79" s="252"/>
      <c r="J79" s="253"/>
      <c r="K79" s="64">
        <f>SUM(K76:K78)</f>
        <v>3192.2665652565465</v>
      </c>
      <c r="L79" s="54" t="s">
        <v>16</v>
      </c>
    </row>
    <row r="81" spans="1:20" x14ac:dyDescent="0.25">
      <c r="C81" s="5"/>
      <c r="D81" s="5"/>
      <c r="E81" s="5"/>
      <c r="F81" s="5"/>
      <c r="K81" s="2"/>
    </row>
    <row r="82" spans="1:20" ht="15.75" x14ac:dyDescent="0.25">
      <c r="A82" s="191" t="s">
        <v>56</v>
      </c>
      <c r="B82" s="191"/>
      <c r="C82" s="191"/>
      <c r="D82" s="191"/>
      <c r="E82" s="191"/>
      <c r="F82" s="191"/>
      <c r="G82" s="191"/>
      <c r="H82" s="191"/>
      <c r="I82" s="191"/>
      <c r="T82" s="43"/>
    </row>
    <row r="83" spans="1:20" ht="15.75" x14ac:dyDescent="0.25">
      <c r="A83" s="6"/>
      <c r="B83" s="6"/>
      <c r="C83" s="6"/>
      <c r="D83" s="6"/>
      <c r="E83" s="6"/>
      <c r="F83" s="6"/>
      <c r="G83" s="6"/>
      <c r="H83" s="6"/>
      <c r="I83" s="6"/>
    </row>
    <row r="84" spans="1:20" ht="15.75" x14ac:dyDescent="0.25">
      <c r="A84" s="191" t="s">
        <v>51</v>
      </c>
      <c r="B84" s="192"/>
      <c r="C84" s="192"/>
      <c r="D84" s="192"/>
      <c r="E84" s="192"/>
      <c r="F84" s="192"/>
      <c r="G84" s="192"/>
      <c r="H84" s="192"/>
    </row>
    <row r="85" spans="1:20" ht="20.25" customHeight="1" x14ac:dyDescent="0.3">
      <c r="A85" s="193" t="s">
        <v>135</v>
      </c>
      <c r="B85" s="193"/>
      <c r="C85" s="193"/>
      <c r="D85" s="193"/>
      <c r="E85" s="193"/>
      <c r="F85" s="193"/>
      <c r="G85" s="193"/>
      <c r="H85" s="193"/>
      <c r="I85" s="193"/>
      <c r="J85" s="193"/>
      <c r="K85" s="62">
        <f>K67+K72+K79</f>
        <v>36904.815783312675</v>
      </c>
    </row>
    <row r="86" spans="1:20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2"/>
    </row>
    <row r="87" spans="1:20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2"/>
      <c r="P87" s="42"/>
    </row>
    <row r="88" spans="1:20" ht="8.25" customHeight="1" x14ac:dyDescent="0.25"/>
    <row r="89" spans="1:20" ht="16.5" customHeight="1" x14ac:dyDescent="0.25">
      <c r="A89" s="194" t="s">
        <v>49</v>
      </c>
      <c r="B89" s="195"/>
      <c r="C89" s="195"/>
      <c r="D89" s="195"/>
      <c r="E89" s="195"/>
      <c r="F89" s="195"/>
      <c r="G89" s="195"/>
      <c r="H89" s="195"/>
      <c r="I89" s="195"/>
      <c r="J89" s="195"/>
      <c r="K89" s="7"/>
      <c r="L89" s="7"/>
    </row>
    <row r="90" spans="1:20" ht="24.75" customHeight="1" x14ac:dyDescent="0.3">
      <c r="A90" s="196" t="s">
        <v>141</v>
      </c>
      <c r="B90" s="196"/>
      <c r="C90" s="196"/>
      <c r="D90" s="196"/>
      <c r="E90" s="196"/>
      <c r="F90" s="196"/>
      <c r="G90" s="196"/>
      <c r="H90" s="196"/>
      <c r="I90" s="196"/>
      <c r="J90" s="196"/>
      <c r="K90" s="71">
        <f>K85/O18</f>
        <v>15.442637786974924</v>
      </c>
      <c r="L90" s="63" t="s">
        <v>50</v>
      </c>
    </row>
    <row r="94" spans="1:20" s="10" customFormat="1" x14ac:dyDescent="0.25"/>
    <row r="95" spans="1:20" s="11" customFormat="1" ht="18.75" x14ac:dyDescent="0.3">
      <c r="B95" s="12" t="s">
        <v>69</v>
      </c>
      <c r="D95" s="188" t="s">
        <v>65</v>
      </c>
      <c r="E95" s="188"/>
      <c r="L95" s="12" t="s">
        <v>69</v>
      </c>
      <c r="M95" s="12"/>
      <c r="N95" s="12" t="s">
        <v>75</v>
      </c>
      <c r="O95" s="12"/>
    </row>
    <row r="96" spans="1:20" s="11" customFormat="1" x14ac:dyDescent="0.25"/>
    <row r="97" spans="2:18" s="11" customFormat="1" x14ac:dyDescent="0.25">
      <c r="B97" s="184" t="s">
        <v>66</v>
      </c>
      <c r="C97" s="184"/>
      <c r="D97" s="13"/>
      <c r="E97" s="13"/>
      <c r="F97" s="189">
        <v>288912</v>
      </c>
      <c r="G97" s="189"/>
      <c r="L97" s="13" t="s">
        <v>66</v>
      </c>
      <c r="M97" s="13"/>
      <c r="N97" s="13"/>
      <c r="O97" s="13"/>
      <c r="P97" s="13"/>
      <c r="Q97" s="30">
        <v>271500</v>
      </c>
    </row>
    <row r="98" spans="2:18" s="11" customFormat="1" x14ac:dyDescent="0.25">
      <c r="B98" s="13" t="s">
        <v>67</v>
      </c>
      <c r="D98" s="13"/>
      <c r="E98" s="13"/>
      <c r="F98" s="185">
        <v>10</v>
      </c>
      <c r="G98" s="185"/>
      <c r="H98" s="11" t="s">
        <v>154</v>
      </c>
      <c r="L98" s="13" t="s">
        <v>67</v>
      </c>
      <c r="M98" s="13"/>
      <c r="N98" s="13"/>
      <c r="O98" s="13"/>
      <c r="P98" s="13"/>
      <c r="Q98" s="13">
        <v>10</v>
      </c>
      <c r="R98" s="11" t="s">
        <v>154</v>
      </c>
    </row>
    <row r="99" spans="2:18" s="11" customFormat="1" x14ac:dyDescent="0.25">
      <c r="B99" s="13" t="s">
        <v>81</v>
      </c>
      <c r="D99" s="13"/>
      <c r="E99" s="13"/>
      <c r="F99" s="14"/>
      <c r="G99" s="14">
        <v>2018</v>
      </c>
      <c r="L99" s="13" t="s">
        <v>81</v>
      </c>
      <c r="N99" s="13"/>
      <c r="O99" s="13"/>
      <c r="P99" s="14"/>
      <c r="Q99" s="14">
        <v>2018</v>
      </c>
    </row>
    <row r="100" spans="2:18" s="11" customFormat="1" x14ac:dyDescent="0.25">
      <c r="B100" s="184" t="s">
        <v>68</v>
      </c>
      <c r="C100" s="184"/>
      <c r="D100" s="184"/>
      <c r="F100" s="185">
        <v>6</v>
      </c>
      <c r="G100" s="185"/>
      <c r="L100" s="13" t="s">
        <v>76</v>
      </c>
      <c r="M100" s="13"/>
      <c r="N100" s="13"/>
      <c r="O100" s="13"/>
      <c r="P100" s="13"/>
      <c r="Q100" s="13">
        <v>6</v>
      </c>
    </row>
    <row r="101" spans="2:18" s="11" customFormat="1" x14ac:dyDescent="0.25">
      <c r="B101" s="184" t="s">
        <v>71</v>
      </c>
      <c r="C101" s="184"/>
      <c r="D101" s="184"/>
      <c r="F101" s="14"/>
      <c r="G101" s="17">
        <v>100000</v>
      </c>
      <c r="L101" s="13" t="s">
        <v>71</v>
      </c>
      <c r="M101" s="13"/>
      <c r="N101" s="13"/>
      <c r="O101" s="13"/>
      <c r="P101" s="13"/>
      <c r="Q101" s="19">
        <v>100000</v>
      </c>
    </row>
    <row r="102" spans="2:18" s="11" customFormat="1" x14ac:dyDescent="0.25">
      <c r="B102" s="184" t="s">
        <v>72</v>
      </c>
      <c r="C102" s="184"/>
      <c r="D102" s="184"/>
      <c r="F102" s="14"/>
      <c r="G102" s="20">
        <v>1533.77</v>
      </c>
      <c r="L102" s="13" t="s">
        <v>72</v>
      </c>
      <c r="M102" s="13"/>
      <c r="N102" s="13"/>
      <c r="O102" s="13"/>
      <c r="P102" s="13"/>
      <c r="Q102" s="69">
        <v>860.69</v>
      </c>
    </row>
    <row r="103" spans="2:18" s="11" customFormat="1" x14ac:dyDescent="0.25">
      <c r="B103" s="184" t="s">
        <v>73</v>
      </c>
      <c r="C103" s="184"/>
      <c r="D103" s="15"/>
      <c r="F103" s="14"/>
      <c r="G103" s="14">
        <v>2.6</v>
      </c>
      <c r="H103" s="13" t="s">
        <v>74</v>
      </c>
      <c r="L103" s="13" t="s">
        <v>73</v>
      </c>
      <c r="M103" s="13"/>
      <c r="N103" s="13"/>
      <c r="O103" s="13"/>
      <c r="P103" s="13"/>
      <c r="Q103" s="13">
        <v>4.7</v>
      </c>
    </row>
    <row r="104" spans="2:18" s="11" customFormat="1" x14ac:dyDescent="0.25">
      <c r="B104" s="184" t="s">
        <v>70</v>
      </c>
      <c r="C104" s="184"/>
      <c r="D104" s="184"/>
      <c r="F104" s="185" t="s">
        <v>125</v>
      </c>
      <c r="G104" s="185"/>
      <c r="L104" s="13" t="s">
        <v>70</v>
      </c>
      <c r="M104" s="13"/>
      <c r="N104" s="13"/>
      <c r="O104" s="13"/>
      <c r="P104" s="13"/>
      <c r="Q104" s="13" t="s">
        <v>124</v>
      </c>
    </row>
    <row r="105" spans="2:18" s="11" customFormat="1" x14ac:dyDescent="0.25"/>
    <row r="106" spans="2:18" s="11" customFormat="1" x14ac:dyDescent="0.25"/>
    <row r="107" spans="2:18" s="11" customFormat="1" ht="18.75" x14ac:dyDescent="0.3">
      <c r="B107" s="12" t="s">
        <v>69</v>
      </c>
      <c r="C107" s="12"/>
      <c r="D107" s="12" t="s">
        <v>77</v>
      </c>
      <c r="E107" s="13"/>
      <c r="F107" s="13"/>
      <c r="G107" s="13"/>
      <c r="H107" s="13"/>
      <c r="L107" s="12" t="s">
        <v>69</v>
      </c>
      <c r="M107" s="16"/>
      <c r="N107" s="16"/>
      <c r="O107" s="12" t="s">
        <v>78</v>
      </c>
    </row>
    <row r="108" spans="2:18" s="11" customFormat="1" x14ac:dyDescent="0.25">
      <c r="B108" s="13"/>
      <c r="C108" s="13"/>
      <c r="D108" s="13"/>
      <c r="E108" s="13"/>
      <c r="F108" s="13"/>
      <c r="G108" s="13"/>
      <c r="H108" s="13"/>
    </row>
    <row r="109" spans="2:18" s="11" customFormat="1" x14ac:dyDescent="0.25">
      <c r="B109" s="184" t="s">
        <v>66</v>
      </c>
      <c r="C109" s="184"/>
      <c r="D109" s="13"/>
      <c r="E109" s="13"/>
      <c r="F109" s="185">
        <v>400</v>
      </c>
      <c r="G109" s="185"/>
      <c r="H109" s="13"/>
      <c r="L109" s="184" t="s">
        <v>66</v>
      </c>
      <c r="M109" s="184"/>
      <c r="N109" s="13"/>
      <c r="O109" s="13"/>
      <c r="P109" s="185" t="s">
        <v>78</v>
      </c>
      <c r="Q109" s="185"/>
      <c r="R109" s="13"/>
    </row>
    <row r="110" spans="2:18" s="11" customFormat="1" x14ac:dyDescent="0.25">
      <c r="B110" s="13" t="s">
        <v>67</v>
      </c>
      <c r="C110" s="13"/>
      <c r="D110" s="13"/>
      <c r="E110" s="13"/>
      <c r="F110" s="185">
        <v>10</v>
      </c>
      <c r="G110" s="185"/>
      <c r="H110" s="13" t="s">
        <v>154</v>
      </c>
      <c r="L110" s="13" t="s">
        <v>67</v>
      </c>
      <c r="M110" s="13"/>
      <c r="N110" s="13"/>
      <c r="O110" s="13"/>
      <c r="P110" s="185">
        <v>8</v>
      </c>
      <c r="Q110" s="185"/>
      <c r="R110" s="13" t="s">
        <v>154</v>
      </c>
    </row>
    <row r="111" spans="2:18" s="11" customFormat="1" x14ac:dyDescent="0.25">
      <c r="B111" s="13" t="s">
        <v>81</v>
      </c>
      <c r="D111" s="13"/>
      <c r="E111" s="13"/>
      <c r="F111" s="14"/>
      <c r="G111" s="14" t="s">
        <v>82</v>
      </c>
      <c r="L111" s="13" t="s">
        <v>81</v>
      </c>
      <c r="N111" s="13"/>
      <c r="O111" s="13"/>
      <c r="P111" s="14"/>
      <c r="Q111" s="14" t="s">
        <v>83</v>
      </c>
      <c r="R111" s="13"/>
    </row>
    <row r="112" spans="2:18" s="11" customFormat="1" x14ac:dyDescent="0.25">
      <c r="B112" s="184" t="s">
        <v>68</v>
      </c>
      <c r="C112" s="184"/>
      <c r="D112" s="184"/>
      <c r="E112" s="13"/>
      <c r="F112" s="185" t="s">
        <v>87</v>
      </c>
      <c r="G112" s="185"/>
      <c r="H112" s="13"/>
      <c r="L112" s="184" t="s">
        <v>68</v>
      </c>
      <c r="M112" s="184"/>
      <c r="N112" s="184"/>
      <c r="O112" s="13"/>
      <c r="P112" s="185" t="s">
        <v>88</v>
      </c>
      <c r="Q112" s="185"/>
      <c r="R112" s="13"/>
    </row>
    <row r="113" spans="2:21" s="11" customFormat="1" x14ac:dyDescent="0.25">
      <c r="B113" s="184" t="s">
        <v>71</v>
      </c>
      <c r="C113" s="184"/>
      <c r="D113" s="184"/>
      <c r="E113" s="13"/>
      <c r="F113" s="14"/>
      <c r="G113" s="14" t="s">
        <v>89</v>
      </c>
      <c r="H113" s="13"/>
      <c r="L113" s="184" t="s">
        <v>71</v>
      </c>
      <c r="M113" s="184"/>
      <c r="N113" s="184"/>
      <c r="O113" s="13"/>
      <c r="P113" s="14"/>
      <c r="Q113" s="14" t="s">
        <v>90</v>
      </c>
      <c r="R113" s="13"/>
    </row>
    <row r="114" spans="2:21" s="11" customFormat="1" x14ac:dyDescent="0.25">
      <c r="B114" s="184" t="s">
        <v>72</v>
      </c>
      <c r="C114" s="184"/>
      <c r="D114" s="184"/>
      <c r="E114" s="13"/>
      <c r="F114" s="14"/>
      <c r="G114" s="14">
        <v>400</v>
      </c>
      <c r="H114" s="13"/>
      <c r="L114" s="184" t="s">
        <v>72</v>
      </c>
      <c r="M114" s="184"/>
      <c r="N114" s="184"/>
      <c r="O114" s="13"/>
      <c r="P114" s="14"/>
      <c r="Q114" s="14">
        <v>4444</v>
      </c>
      <c r="R114" s="13"/>
    </row>
    <row r="115" spans="2:21" s="11" customFormat="1" x14ac:dyDescent="0.25">
      <c r="B115" s="184" t="s">
        <v>73</v>
      </c>
      <c r="C115" s="184"/>
      <c r="D115" s="15"/>
      <c r="E115" s="13"/>
      <c r="F115" s="14"/>
      <c r="G115" s="14">
        <v>2</v>
      </c>
      <c r="H115" s="13" t="s">
        <v>74</v>
      </c>
      <c r="L115" s="184" t="s">
        <v>73</v>
      </c>
      <c r="M115" s="184"/>
      <c r="N115" s="15"/>
      <c r="O115" s="13"/>
      <c r="P115" s="14"/>
      <c r="Q115" s="14">
        <v>4</v>
      </c>
      <c r="R115" s="13" t="s">
        <v>74</v>
      </c>
    </row>
    <row r="116" spans="2:21" s="11" customFormat="1" x14ac:dyDescent="0.25">
      <c r="B116" s="184" t="s">
        <v>70</v>
      </c>
      <c r="C116" s="184"/>
      <c r="D116" s="184"/>
      <c r="E116" s="13"/>
      <c r="F116" s="185" t="s">
        <v>85</v>
      </c>
      <c r="G116" s="185"/>
      <c r="H116" s="13"/>
      <c r="L116" s="184" t="s">
        <v>70</v>
      </c>
      <c r="M116" s="184"/>
      <c r="N116" s="184"/>
      <c r="O116" s="13"/>
      <c r="P116" s="185" t="s">
        <v>86</v>
      </c>
      <c r="Q116" s="185"/>
      <c r="R116" s="13"/>
    </row>
    <row r="117" spans="2:21" s="11" customFormat="1" x14ac:dyDescent="0.25"/>
    <row r="118" spans="2:21" s="11" customFormat="1" x14ac:dyDescent="0.25"/>
    <row r="119" spans="2:21" s="11" customFormat="1" ht="18.75" x14ac:dyDescent="0.3">
      <c r="Q119" s="12" t="s">
        <v>65</v>
      </c>
      <c r="R119" s="12"/>
      <c r="T119" s="13" t="s">
        <v>130</v>
      </c>
      <c r="U119" s="13"/>
    </row>
    <row r="120" spans="2:21" s="11" customFormat="1" ht="18.75" x14ac:dyDescent="0.3">
      <c r="Q120" s="12" t="s">
        <v>75</v>
      </c>
      <c r="T120" s="13" t="s">
        <v>129</v>
      </c>
      <c r="U120" s="13"/>
    </row>
    <row r="121" spans="2:21" s="11" customFormat="1" ht="18.75" x14ac:dyDescent="0.3">
      <c r="Q121" s="12" t="s">
        <v>77</v>
      </c>
    </row>
    <row r="122" spans="2:21" s="11" customFormat="1" ht="18" customHeight="1" x14ac:dyDescent="0.3">
      <c r="B122" s="186" t="s">
        <v>172</v>
      </c>
      <c r="C122" s="186"/>
      <c r="Q122" s="12" t="s">
        <v>78</v>
      </c>
    </row>
    <row r="123" spans="2:21" ht="0.75" hidden="1" customHeight="1" x14ac:dyDescent="0.25">
      <c r="B123" s="186"/>
      <c r="C123" s="186"/>
    </row>
    <row r="124" spans="2:21" hidden="1" x14ac:dyDescent="0.25">
      <c r="B124" s="186"/>
      <c r="C124" s="186"/>
    </row>
    <row r="125" spans="2:21" x14ac:dyDescent="0.25">
      <c r="B125" s="186"/>
      <c r="C125" s="186"/>
    </row>
    <row r="126" spans="2:21" ht="24.75" x14ac:dyDescent="0.25">
      <c r="B126" s="94" t="s">
        <v>173</v>
      </c>
      <c r="C126" s="9" t="s">
        <v>174</v>
      </c>
      <c r="D126" s="9"/>
      <c r="E126" s="9"/>
      <c r="F126" s="9" t="s">
        <v>175</v>
      </c>
      <c r="G126" s="9"/>
      <c r="H126" s="9"/>
      <c r="I126" s="9" t="s">
        <v>176</v>
      </c>
      <c r="J126" s="9"/>
      <c r="K126" s="9"/>
      <c r="L126" s="9" t="s">
        <v>177</v>
      </c>
      <c r="M126" s="9"/>
      <c r="N126" s="9"/>
    </row>
    <row r="127" spans="2:21" x14ac:dyDescent="0.25">
      <c r="B127" s="5">
        <v>40</v>
      </c>
      <c r="C127" s="2">
        <f>$K$42*(B127*21)</f>
        <v>4049.0369329846144</v>
      </c>
      <c r="F127" s="2">
        <f>(C127+$K$65)*0.05</f>
        <v>1159.2990955593639</v>
      </c>
      <c r="I127" s="2">
        <f>(C127+$K$65+F127)*6%</f>
        <v>1460.7168604047984</v>
      </c>
      <c r="L127" s="31">
        <f>(C127+$K$65+F127+I127)*14.25%</f>
        <v>3677.3546960690801</v>
      </c>
      <c r="M127" s="9"/>
      <c r="N127" s="9"/>
    </row>
    <row r="128" spans="2:21" x14ac:dyDescent="0.25">
      <c r="B128" s="5">
        <v>50</v>
      </c>
      <c r="C128" s="2">
        <f t="shared" ref="C128:C139" si="0">$K$42*(B128*21)</f>
        <v>5061.296166230768</v>
      </c>
      <c r="F128" s="2">
        <f t="shared" ref="F128:F139" si="1">(C128+$K$65)*0.05</f>
        <v>1209.9120572216716</v>
      </c>
      <c r="I128" s="2">
        <f t="shared" ref="I128:I139" si="2">(C128+$K$65+F128)*6%</f>
        <v>1524.4891920993061</v>
      </c>
      <c r="L128" s="31">
        <f t="shared" ref="L128:L139" si="3">(C128+$K$65+F128+I128)*14.25%</f>
        <v>3837.9015411100031</v>
      </c>
      <c r="M128" s="9"/>
      <c r="N128" s="9"/>
    </row>
    <row r="129" spans="2:14" x14ac:dyDescent="0.25">
      <c r="B129" s="5">
        <v>60</v>
      </c>
      <c r="C129" s="2">
        <f t="shared" si="0"/>
        <v>6073.5553994769216</v>
      </c>
      <c r="F129" s="2">
        <f t="shared" si="1"/>
        <v>1260.5250188839793</v>
      </c>
      <c r="I129" s="2">
        <f t="shared" si="2"/>
        <v>1588.2615237938137</v>
      </c>
      <c r="L129" s="31">
        <f t="shared" si="3"/>
        <v>3998.4483861509261</v>
      </c>
      <c r="M129" s="9"/>
      <c r="N129" s="9"/>
    </row>
    <row r="130" spans="2:14" x14ac:dyDescent="0.25">
      <c r="B130" s="5">
        <v>70</v>
      </c>
      <c r="C130" s="2">
        <f t="shared" si="0"/>
        <v>7085.8146327230752</v>
      </c>
      <c r="F130" s="2">
        <f t="shared" si="1"/>
        <v>1311.1379805462871</v>
      </c>
      <c r="I130" s="2">
        <f t="shared" si="2"/>
        <v>1652.0338554883215</v>
      </c>
      <c r="L130" s="31">
        <f t="shared" si="3"/>
        <v>4158.9952311918487</v>
      </c>
      <c r="M130" s="9"/>
      <c r="N130" s="9"/>
    </row>
    <row r="131" spans="2:14" x14ac:dyDescent="0.25">
      <c r="B131" s="5">
        <v>80</v>
      </c>
      <c r="C131" s="2">
        <f t="shared" si="0"/>
        <v>8098.0738659692288</v>
      </c>
      <c r="F131" s="2">
        <f t="shared" si="1"/>
        <v>1361.7509422085948</v>
      </c>
      <c r="I131" s="2">
        <f t="shared" si="2"/>
        <v>1715.806187182829</v>
      </c>
      <c r="L131" s="31">
        <f t="shared" si="3"/>
        <v>4319.5420762327722</v>
      </c>
      <c r="M131" s="9"/>
      <c r="N131" s="9"/>
    </row>
    <row r="132" spans="2:14" x14ac:dyDescent="0.25">
      <c r="B132" s="5">
        <v>90</v>
      </c>
      <c r="C132" s="2">
        <f t="shared" si="0"/>
        <v>9110.3330992153824</v>
      </c>
      <c r="F132" s="2">
        <f t="shared" si="1"/>
        <v>1412.3639038709025</v>
      </c>
      <c r="I132" s="2">
        <f t="shared" si="2"/>
        <v>1779.578518877337</v>
      </c>
      <c r="L132" s="31">
        <f t="shared" si="3"/>
        <v>4480.0889212736956</v>
      </c>
      <c r="M132" s="9"/>
      <c r="N132" s="9"/>
    </row>
    <row r="133" spans="2:14" x14ac:dyDescent="0.25">
      <c r="B133" s="5">
        <v>100</v>
      </c>
      <c r="C133" s="2">
        <f t="shared" si="0"/>
        <v>10122.592332461536</v>
      </c>
      <c r="F133" s="2">
        <f t="shared" si="1"/>
        <v>1462.97686553321</v>
      </c>
      <c r="I133" s="2">
        <f t="shared" si="2"/>
        <v>1843.3508505718444</v>
      </c>
      <c r="L133" s="31">
        <f t="shared" si="3"/>
        <v>4640.6357663146182</v>
      </c>
      <c r="M133" s="9"/>
      <c r="N133" s="9"/>
    </row>
    <row r="134" spans="2:14" x14ac:dyDescent="0.25">
      <c r="B134" s="5">
        <v>110</v>
      </c>
      <c r="C134" s="2">
        <f t="shared" si="0"/>
        <v>11134.85156570769</v>
      </c>
      <c r="F134" s="2">
        <f t="shared" si="1"/>
        <v>1513.5898271955177</v>
      </c>
      <c r="I134" s="2">
        <f t="shared" si="2"/>
        <v>1907.1231822663524</v>
      </c>
      <c r="L134" s="31">
        <f t="shared" si="3"/>
        <v>4801.1826113555417</v>
      </c>
      <c r="M134" s="9"/>
      <c r="N134" s="9"/>
    </row>
    <row r="135" spans="2:14" x14ac:dyDescent="0.25">
      <c r="B135" s="5">
        <v>120</v>
      </c>
      <c r="C135" s="2">
        <f t="shared" si="0"/>
        <v>12147.110798953843</v>
      </c>
      <c r="F135" s="2">
        <f t="shared" si="1"/>
        <v>1564.2027888578255</v>
      </c>
      <c r="I135" s="2">
        <f t="shared" si="2"/>
        <v>1970.8955139608597</v>
      </c>
      <c r="L135" s="31">
        <f t="shared" si="3"/>
        <v>4961.7294563964642</v>
      </c>
      <c r="M135" s="9"/>
      <c r="N135" s="9"/>
    </row>
    <row r="136" spans="2:14" x14ac:dyDescent="0.25">
      <c r="B136" s="5">
        <v>130</v>
      </c>
      <c r="C136" s="2">
        <f t="shared" si="0"/>
        <v>13159.370032199997</v>
      </c>
      <c r="F136" s="2">
        <f t="shared" si="1"/>
        <v>1614.8157505201332</v>
      </c>
      <c r="I136" s="2">
        <f t="shared" si="2"/>
        <v>2034.6678456553677</v>
      </c>
      <c r="L136" s="31">
        <f t="shared" si="3"/>
        <v>5122.2763014373886</v>
      </c>
      <c r="M136" s="9"/>
      <c r="N136" s="9"/>
    </row>
    <row r="137" spans="2:14" x14ac:dyDescent="0.25">
      <c r="B137" s="5">
        <v>140</v>
      </c>
      <c r="C137" s="2">
        <f t="shared" si="0"/>
        <v>14171.62926544615</v>
      </c>
      <c r="F137" s="2">
        <f t="shared" si="1"/>
        <v>1665.4287121824409</v>
      </c>
      <c r="I137" s="2">
        <f t="shared" si="2"/>
        <v>2098.4401773498753</v>
      </c>
      <c r="L137" s="31">
        <f t="shared" si="3"/>
        <v>5282.8231464783103</v>
      </c>
      <c r="M137" s="9"/>
      <c r="N137" s="9"/>
    </row>
    <row r="138" spans="2:14" x14ac:dyDescent="0.25">
      <c r="B138" s="5">
        <v>150</v>
      </c>
      <c r="C138" s="2">
        <f t="shared" si="0"/>
        <v>15183.888498692304</v>
      </c>
      <c r="F138" s="2">
        <f t="shared" si="1"/>
        <v>1716.0416738447486</v>
      </c>
      <c r="I138" s="2">
        <f t="shared" si="2"/>
        <v>2162.2125090443828</v>
      </c>
      <c r="L138" s="31">
        <f t="shared" si="3"/>
        <v>5443.3699915192337</v>
      </c>
      <c r="M138" s="9"/>
      <c r="N138" s="9"/>
    </row>
    <row r="139" spans="2:14" x14ac:dyDescent="0.25">
      <c r="B139" s="5">
        <v>160</v>
      </c>
      <c r="C139" s="2">
        <f t="shared" si="0"/>
        <v>16196.147731938458</v>
      </c>
      <c r="F139" s="2">
        <f t="shared" si="1"/>
        <v>1766.6546355070561</v>
      </c>
      <c r="I139" s="2">
        <f t="shared" si="2"/>
        <v>2225.9848407388904</v>
      </c>
      <c r="L139" s="31">
        <f t="shared" si="3"/>
        <v>5603.9168365601563</v>
      </c>
      <c r="M139" s="9"/>
      <c r="N139" s="9"/>
    </row>
    <row r="140" spans="2:14" x14ac:dyDescent="0.25">
      <c r="B140" s="5"/>
    </row>
    <row r="143" spans="2:14" x14ac:dyDescent="0.25">
      <c r="B143" s="187" t="s">
        <v>178</v>
      </c>
      <c r="C143" s="187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</row>
    <row r="144" spans="2:14" x14ac:dyDescent="0.25">
      <c r="B144" s="187"/>
      <c r="C144" s="187"/>
    </row>
    <row r="145" spans="2:14" x14ac:dyDescent="0.25">
      <c r="B145" s="187"/>
      <c r="C145" s="187"/>
    </row>
    <row r="146" spans="2:14" x14ac:dyDescent="0.25">
      <c r="B146" s="187"/>
      <c r="C146" s="187"/>
    </row>
    <row r="147" spans="2:14" ht="24.75" x14ac:dyDescent="0.25">
      <c r="B147" s="94" t="s">
        <v>173</v>
      </c>
      <c r="C147" s="9" t="s">
        <v>174</v>
      </c>
      <c r="D147" s="9"/>
      <c r="E147" s="9"/>
      <c r="F147" s="9" t="s">
        <v>175</v>
      </c>
      <c r="G147" s="9"/>
      <c r="H147" s="9"/>
      <c r="I147" s="9" t="s">
        <v>176</v>
      </c>
      <c r="J147" s="9"/>
      <c r="K147" s="9"/>
      <c r="L147" s="9" t="s">
        <v>177</v>
      </c>
      <c r="M147" s="9"/>
      <c r="N147" s="9"/>
    </row>
    <row r="148" spans="2:14" x14ac:dyDescent="0.25">
      <c r="B148" s="5">
        <v>40</v>
      </c>
      <c r="C148" s="2">
        <f>($K$42*(B148*21))*1.154</f>
        <v>4672.5886206642444</v>
      </c>
      <c r="F148" s="2">
        <f>(C148+$K$65)*0.05</f>
        <v>1190.4766799433455</v>
      </c>
      <c r="I148" s="2">
        <f>(C148+$K$65+F148)*6%</f>
        <v>1500.0006167286153</v>
      </c>
      <c r="L148" s="31">
        <f>(C148+$K$65+F148+I148)*14.25%</f>
        <v>3776.2515526142888</v>
      </c>
      <c r="M148" s="9"/>
      <c r="N148" s="9"/>
    </row>
    <row r="149" spans="2:14" x14ac:dyDescent="0.25">
      <c r="B149" s="5">
        <v>50</v>
      </c>
      <c r="C149" s="2">
        <f t="shared" ref="C149:C160" si="4">($K$42*(B149*21))*1.154</f>
        <v>5840.735775830306</v>
      </c>
      <c r="F149" s="2">
        <f t="shared" ref="F149:F160" si="5">(C149+$K$65)*0.05</f>
        <v>1248.8840377016486</v>
      </c>
      <c r="I149" s="2">
        <f t="shared" ref="I149:I160" si="6">(C149+$K$65+F149)*6%</f>
        <v>1573.593887504077</v>
      </c>
      <c r="L149" s="31">
        <f t="shared" ref="L149:L160" si="7">(C149+$K$65+F149+I149)*14.25%</f>
        <v>3961.5226117915136</v>
      </c>
      <c r="M149" s="9"/>
      <c r="N149" s="9"/>
    </row>
    <row r="150" spans="2:14" x14ac:dyDescent="0.25">
      <c r="B150" s="5">
        <v>60</v>
      </c>
      <c r="C150" s="2">
        <f t="shared" si="4"/>
        <v>7008.8829309963667</v>
      </c>
      <c r="F150" s="2">
        <f t="shared" si="5"/>
        <v>1307.2913954599517</v>
      </c>
      <c r="I150" s="2">
        <f t="shared" si="6"/>
        <v>1647.1871582795388</v>
      </c>
      <c r="L150" s="31">
        <f t="shared" si="7"/>
        <v>4146.7936709687392</v>
      </c>
      <c r="M150" s="9"/>
      <c r="N150" s="9"/>
    </row>
    <row r="151" spans="2:14" x14ac:dyDescent="0.25">
      <c r="B151" s="5">
        <v>70</v>
      </c>
      <c r="C151" s="2">
        <f t="shared" si="4"/>
        <v>8177.0300861624282</v>
      </c>
      <c r="F151" s="2">
        <f t="shared" si="5"/>
        <v>1365.6987532182548</v>
      </c>
      <c r="I151" s="2">
        <f t="shared" si="6"/>
        <v>1720.7804290550007</v>
      </c>
      <c r="L151" s="31">
        <f t="shared" si="7"/>
        <v>4332.0647301459639</v>
      </c>
      <c r="M151" s="9"/>
      <c r="N151" s="9"/>
    </row>
    <row r="152" spans="2:14" x14ac:dyDescent="0.25">
      <c r="B152" s="5">
        <v>80</v>
      </c>
      <c r="C152" s="2">
        <f t="shared" si="4"/>
        <v>9345.1772413284889</v>
      </c>
      <c r="F152" s="2">
        <f t="shared" si="5"/>
        <v>1424.1061109765578</v>
      </c>
      <c r="I152" s="2">
        <f t="shared" si="6"/>
        <v>1794.3736998304626</v>
      </c>
      <c r="L152" s="31">
        <f t="shared" si="7"/>
        <v>4517.3357893231896</v>
      </c>
      <c r="M152" s="9"/>
      <c r="N152" s="9"/>
    </row>
    <row r="153" spans="2:14" x14ac:dyDescent="0.25">
      <c r="B153" s="5">
        <v>90</v>
      </c>
      <c r="C153" s="2">
        <f t="shared" si="4"/>
        <v>10513.32439649455</v>
      </c>
      <c r="F153" s="2">
        <f t="shared" si="5"/>
        <v>1482.5134687348609</v>
      </c>
      <c r="I153" s="2">
        <f t="shared" si="6"/>
        <v>1867.9669706059244</v>
      </c>
      <c r="L153" s="31">
        <f t="shared" si="7"/>
        <v>4702.6068485004143</v>
      </c>
      <c r="M153" s="9"/>
      <c r="N153" s="9"/>
    </row>
    <row r="154" spans="2:14" x14ac:dyDescent="0.25">
      <c r="B154" s="5">
        <v>100</v>
      </c>
      <c r="C154" s="2">
        <f t="shared" si="4"/>
        <v>11681.471551660612</v>
      </c>
      <c r="F154" s="2">
        <f t="shared" si="5"/>
        <v>1540.920826493164</v>
      </c>
      <c r="I154" s="2">
        <f t="shared" si="6"/>
        <v>1941.5602413813863</v>
      </c>
      <c r="L154" s="31">
        <f t="shared" si="7"/>
        <v>4887.8779076776391</v>
      </c>
      <c r="M154" s="9"/>
      <c r="N154" s="9"/>
    </row>
    <row r="155" spans="2:14" x14ac:dyDescent="0.25">
      <c r="B155" s="5">
        <v>110</v>
      </c>
      <c r="C155" s="2">
        <f t="shared" si="4"/>
        <v>12849.618706826674</v>
      </c>
      <c r="F155" s="2">
        <f t="shared" si="5"/>
        <v>1599.3281842514671</v>
      </c>
      <c r="I155" s="2">
        <f t="shared" si="6"/>
        <v>2015.1535121568484</v>
      </c>
      <c r="L155" s="31">
        <f t="shared" si="7"/>
        <v>5073.1489668548647</v>
      </c>
      <c r="M155" s="9"/>
      <c r="N155" s="9"/>
    </row>
    <row r="156" spans="2:14" x14ac:dyDescent="0.25">
      <c r="B156" s="5">
        <v>120</v>
      </c>
      <c r="C156" s="2">
        <f t="shared" si="4"/>
        <v>14017.765861992733</v>
      </c>
      <c r="F156" s="2">
        <f t="shared" si="5"/>
        <v>1657.7355420097699</v>
      </c>
      <c r="I156" s="2">
        <f t="shared" si="6"/>
        <v>2088.7467829323095</v>
      </c>
      <c r="L156" s="31">
        <f t="shared" si="7"/>
        <v>5258.4200260320886</v>
      </c>
      <c r="M156" s="9"/>
      <c r="N156" s="9"/>
    </row>
    <row r="157" spans="2:14" x14ac:dyDescent="0.25">
      <c r="B157" s="5">
        <v>130</v>
      </c>
      <c r="C157" s="2">
        <f t="shared" si="4"/>
        <v>15185.913017158795</v>
      </c>
      <c r="F157" s="2">
        <f t="shared" si="5"/>
        <v>1716.1428997680732</v>
      </c>
      <c r="I157" s="2">
        <f t="shared" si="6"/>
        <v>2162.3400537077719</v>
      </c>
      <c r="L157" s="31">
        <f t="shared" si="7"/>
        <v>5443.6910852093151</v>
      </c>
      <c r="M157" s="9"/>
      <c r="N157" s="9"/>
    </row>
    <row r="158" spans="2:14" x14ac:dyDescent="0.25">
      <c r="B158" s="5">
        <v>140</v>
      </c>
      <c r="C158" s="2">
        <f t="shared" si="4"/>
        <v>16354.060172324856</v>
      </c>
      <c r="F158" s="2">
        <f t="shared" si="5"/>
        <v>1774.5502575263761</v>
      </c>
      <c r="I158" s="2">
        <f t="shared" si="6"/>
        <v>2235.9333244832337</v>
      </c>
      <c r="L158" s="31">
        <f t="shared" si="7"/>
        <v>5628.9621443865399</v>
      </c>
      <c r="M158" s="9"/>
      <c r="N158" s="9"/>
    </row>
    <row r="159" spans="2:14" x14ac:dyDescent="0.25">
      <c r="B159" s="5">
        <v>150</v>
      </c>
      <c r="C159" s="2">
        <f t="shared" si="4"/>
        <v>17522.207327490916</v>
      </c>
      <c r="F159" s="2">
        <f t="shared" si="5"/>
        <v>1832.9576152846794</v>
      </c>
      <c r="I159" s="2">
        <f t="shared" si="6"/>
        <v>2309.5265952586956</v>
      </c>
      <c r="L159" s="31">
        <f t="shared" si="7"/>
        <v>5814.2332035637655</v>
      </c>
      <c r="M159" s="9"/>
      <c r="N159" s="9"/>
    </row>
    <row r="160" spans="2:14" x14ac:dyDescent="0.25">
      <c r="B160" s="5">
        <v>160</v>
      </c>
      <c r="C160" s="2">
        <f t="shared" si="4"/>
        <v>18690.354482656978</v>
      </c>
      <c r="F160" s="2">
        <f t="shared" si="5"/>
        <v>1891.3649730429822</v>
      </c>
      <c r="I160" s="2">
        <f t="shared" si="6"/>
        <v>2383.1198660341574</v>
      </c>
      <c r="L160" s="31">
        <f t="shared" si="7"/>
        <v>5999.5042627409903</v>
      </c>
      <c r="M160" s="9"/>
      <c r="N160" s="9"/>
    </row>
  </sheetData>
  <mergeCells count="121">
    <mergeCell ref="B116:D116"/>
    <mergeCell ref="F116:G116"/>
    <mergeCell ref="L116:N116"/>
    <mergeCell ref="P116:Q116"/>
    <mergeCell ref="B122:C125"/>
    <mergeCell ref="B143:C146"/>
    <mergeCell ref="B113:D113"/>
    <mergeCell ref="L113:N113"/>
    <mergeCell ref="B114:D114"/>
    <mergeCell ref="L114:N114"/>
    <mergeCell ref="B115:C115"/>
    <mergeCell ref="L115:M115"/>
    <mergeCell ref="L109:M109"/>
    <mergeCell ref="P109:Q109"/>
    <mergeCell ref="F110:G110"/>
    <mergeCell ref="P110:Q110"/>
    <mergeCell ref="B112:D112"/>
    <mergeCell ref="F112:G112"/>
    <mergeCell ref="L112:N112"/>
    <mergeCell ref="P112:Q112"/>
    <mergeCell ref="B101:D101"/>
    <mergeCell ref="B102:D102"/>
    <mergeCell ref="B103:C103"/>
    <mergeCell ref="B104:D104"/>
    <mergeCell ref="F104:G104"/>
    <mergeCell ref="B109:C109"/>
    <mergeCell ref="F109:G109"/>
    <mergeCell ref="D95:E95"/>
    <mergeCell ref="B97:C97"/>
    <mergeCell ref="F97:G97"/>
    <mergeCell ref="F98:G98"/>
    <mergeCell ref="B100:D100"/>
    <mergeCell ref="F100:G100"/>
    <mergeCell ref="A79:J79"/>
    <mergeCell ref="A82:I82"/>
    <mergeCell ref="A84:H84"/>
    <mergeCell ref="A85:J85"/>
    <mergeCell ref="A89:J89"/>
    <mergeCell ref="A90:J90"/>
    <mergeCell ref="A74:E74"/>
    <mergeCell ref="A75:F75"/>
    <mergeCell ref="I75:J75"/>
    <mergeCell ref="I76:J76"/>
    <mergeCell ref="I77:J77"/>
    <mergeCell ref="I78:J78"/>
    <mergeCell ref="A65:J65"/>
    <mergeCell ref="A67:I67"/>
    <mergeCell ref="A69:E69"/>
    <mergeCell ref="I69:J69"/>
    <mergeCell ref="C70:F70"/>
    <mergeCell ref="C71:F71"/>
    <mergeCell ref="C54:F54"/>
    <mergeCell ref="C55:F55"/>
    <mergeCell ref="C58:F58"/>
    <mergeCell ref="C60:G60"/>
    <mergeCell ref="C62:E62"/>
    <mergeCell ref="C63:F63"/>
    <mergeCell ref="A49:E49"/>
    <mergeCell ref="H50:I50"/>
    <mergeCell ref="C51:F51"/>
    <mergeCell ref="H51:I51"/>
    <mergeCell ref="C52:F52"/>
    <mergeCell ref="C53:F53"/>
    <mergeCell ref="B41:D41"/>
    <mergeCell ref="F41:H41"/>
    <mergeCell ref="A42:E42"/>
    <mergeCell ref="A43:J43"/>
    <mergeCell ref="A45:J45"/>
    <mergeCell ref="A47:J47"/>
    <mergeCell ref="A36:E36"/>
    <mergeCell ref="B37:D37"/>
    <mergeCell ref="E37:F37"/>
    <mergeCell ref="B38:D38"/>
    <mergeCell ref="B39:D39"/>
    <mergeCell ref="B40:D40"/>
    <mergeCell ref="A28:D28"/>
    <mergeCell ref="E28:F28"/>
    <mergeCell ref="A31:F31"/>
    <mergeCell ref="A32:D32"/>
    <mergeCell ref="E32:F32"/>
    <mergeCell ref="A33:D33"/>
    <mergeCell ref="A25:D25"/>
    <mergeCell ref="E25:F25"/>
    <mergeCell ref="A26:D26"/>
    <mergeCell ref="E26:F26"/>
    <mergeCell ref="A27:D27"/>
    <mergeCell ref="E27:F27"/>
    <mergeCell ref="K18:N18"/>
    <mergeCell ref="A19:F19"/>
    <mergeCell ref="A20:F20"/>
    <mergeCell ref="A23:F23"/>
    <mergeCell ref="A24:D24"/>
    <mergeCell ref="E24:F24"/>
    <mergeCell ref="A16:D16"/>
    <mergeCell ref="E16:F16"/>
    <mergeCell ref="K16:N17"/>
    <mergeCell ref="H20:N21"/>
    <mergeCell ref="O16:O17"/>
    <mergeCell ref="P16:P17"/>
    <mergeCell ref="T17:V17"/>
    <mergeCell ref="A14:D14"/>
    <mergeCell ref="E14:F14"/>
    <mergeCell ref="K14:N15"/>
    <mergeCell ref="O14:O15"/>
    <mergeCell ref="P14:P15"/>
    <mergeCell ref="E15:F15"/>
    <mergeCell ref="A11:F11"/>
    <mergeCell ref="K11:N11"/>
    <mergeCell ref="A12:C12"/>
    <mergeCell ref="E12:F12"/>
    <mergeCell ref="K12:N12"/>
    <mergeCell ref="A13:D13"/>
    <mergeCell ref="E13:F13"/>
    <mergeCell ref="K13:N13"/>
    <mergeCell ref="C2:F6"/>
    <mergeCell ref="H3:P5"/>
    <mergeCell ref="F7:H7"/>
    <mergeCell ref="K7:N7"/>
    <mergeCell ref="B8:C8"/>
    <mergeCell ref="I9:P9"/>
    <mergeCell ref="A9:F9"/>
  </mergeCells>
  <conditionalFormatting sqref="P19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{EFA42EA7-4F67-4C37-A547-7F54E6011026}</x14:id>
        </ext>
      </extLst>
    </cfRule>
  </conditionalFormatting>
  <dataValidations disablePrompts="1" count="3">
    <dataValidation type="list" allowBlank="1" showInputMessage="1" showErrorMessage="1" sqref="E15:F15">
      <formula1>"0,1,2,3,4,5,6,7,8,9,10,11,12,13,14,15"</formula1>
    </dataValidation>
    <dataValidation type="list" allowBlank="1" showInputMessage="1" showErrorMessage="1" sqref="L51">
      <formula1>"LINEAR, MÉTODO COLE"</formula1>
    </dataValidation>
    <dataValidation type="list" allowBlank="1" showInputMessage="1" showErrorMessage="1" sqref="F7:H7 T17:V17">
      <formula1>$Q$119:$Q$122</formula1>
    </dataValidation>
  </dataValidations>
  <pageMargins left="0.51181102362204722" right="0.51181102362204722" top="0.78740157480314965" bottom="0.78740157480314965" header="0.31496062992125984" footer="0.31496062992125984"/>
  <pageSetup paperSize="9" scale="50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FA42EA7-4F67-4C37-A547-7F54E601102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P19</xm:sqref>
        </x14:conditionalFormatting>
      </x14:conditionalFormatting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2:V160"/>
  <sheetViews>
    <sheetView tabSelected="1" view="pageBreakPreview" topLeftCell="A45" zoomScale="85" zoomScaleNormal="100" zoomScaleSheetLayoutView="85" workbookViewId="0">
      <selection activeCell="A57" sqref="A57"/>
    </sheetView>
  </sheetViews>
  <sheetFormatPr defaultColWidth="8.85546875" defaultRowHeight="15" x14ac:dyDescent="0.25"/>
  <cols>
    <col min="2" max="2" width="14.140625" customWidth="1"/>
    <col min="3" max="3" width="15.28515625" customWidth="1"/>
    <col min="5" max="5" width="12.42578125" customWidth="1"/>
    <col min="6" max="6" width="13.5703125" customWidth="1"/>
    <col min="7" max="7" width="12.140625" customWidth="1"/>
    <col min="9" max="9" width="10.7109375" customWidth="1"/>
    <col min="10" max="10" width="12.140625" bestFit="1" customWidth="1"/>
    <col min="11" max="11" width="16.42578125" bestFit="1" customWidth="1"/>
    <col min="12" max="12" width="14.42578125" customWidth="1"/>
    <col min="14" max="14" width="6.42578125" customWidth="1"/>
    <col min="15" max="15" width="9" customWidth="1"/>
    <col min="16" max="16" width="10.42578125" customWidth="1"/>
    <col min="17" max="17" width="15.140625" customWidth="1"/>
    <col min="18" max="18" width="14.7109375" bestFit="1" customWidth="1"/>
    <col min="19" max="19" width="19.42578125" bestFit="1" customWidth="1"/>
  </cols>
  <sheetData>
    <row r="2" spans="1:19" x14ac:dyDescent="0.25">
      <c r="C2" s="239" t="s">
        <v>151</v>
      </c>
      <c r="D2" s="240"/>
      <c r="E2" s="240"/>
      <c r="F2" s="240"/>
    </row>
    <row r="3" spans="1:19" x14ac:dyDescent="0.25">
      <c r="C3" s="240"/>
      <c r="D3" s="240"/>
      <c r="E3" s="240"/>
      <c r="F3" s="240"/>
      <c r="H3" s="241" t="s">
        <v>64</v>
      </c>
      <c r="I3" s="239"/>
      <c r="J3" s="239"/>
      <c r="K3" s="239"/>
      <c r="L3" s="239"/>
      <c r="M3" s="239"/>
      <c r="N3" s="239"/>
      <c r="O3" s="239"/>
      <c r="P3" s="239"/>
    </row>
    <row r="4" spans="1:19" x14ac:dyDescent="0.25">
      <c r="C4" s="240"/>
      <c r="D4" s="240"/>
      <c r="E4" s="240"/>
      <c r="F4" s="240"/>
      <c r="H4" s="239"/>
      <c r="I4" s="239"/>
      <c r="J4" s="239"/>
      <c r="K4" s="239"/>
      <c r="L4" s="239"/>
      <c r="M4" s="239"/>
      <c r="N4" s="239"/>
      <c r="O4" s="239"/>
      <c r="P4" s="239"/>
    </row>
    <row r="5" spans="1:19" x14ac:dyDescent="0.25">
      <c r="C5" s="240"/>
      <c r="D5" s="240"/>
      <c r="E5" s="240"/>
      <c r="F5" s="240"/>
      <c r="H5" s="239"/>
      <c r="I5" s="239"/>
      <c r="J5" s="239"/>
      <c r="K5" s="239"/>
      <c r="L5" s="239"/>
      <c r="M5" s="239"/>
      <c r="N5" s="239"/>
      <c r="O5" s="239"/>
      <c r="P5" s="239"/>
    </row>
    <row r="6" spans="1:19" x14ac:dyDescent="0.25">
      <c r="C6" s="240"/>
      <c r="D6" s="240"/>
      <c r="E6" s="240"/>
      <c r="F6" s="240"/>
    </row>
    <row r="7" spans="1:19" ht="21" x14ac:dyDescent="0.35">
      <c r="E7" s="18" t="s">
        <v>80</v>
      </c>
      <c r="F7" s="235" t="s">
        <v>65</v>
      </c>
      <c r="G7" s="235"/>
      <c r="H7" s="235"/>
      <c r="K7" s="242" t="s">
        <v>286</v>
      </c>
      <c r="L7" s="243"/>
      <c r="M7" s="243"/>
      <c r="N7" s="243"/>
    </row>
    <row r="8" spans="1:19" ht="15.75" x14ac:dyDescent="0.25">
      <c r="B8" s="194"/>
      <c r="C8" s="194"/>
      <c r="D8" s="142"/>
      <c r="E8" s="142"/>
      <c r="F8" s="142"/>
      <c r="J8" s="9"/>
    </row>
    <row r="9" spans="1:19" ht="21" x14ac:dyDescent="0.35">
      <c r="A9" s="235" t="s">
        <v>352</v>
      </c>
      <c r="B9" s="235"/>
      <c r="C9" s="235"/>
      <c r="D9" s="235"/>
      <c r="E9" s="235"/>
      <c r="F9" s="235"/>
      <c r="I9" s="244" t="s">
        <v>157</v>
      </c>
      <c r="J9" s="244"/>
      <c r="K9" s="244"/>
      <c r="L9" s="244"/>
      <c r="M9" s="244"/>
      <c r="N9" s="244"/>
      <c r="O9" s="244"/>
      <c r="P9" s="244"/>
      <c r="R9" s="9" t="s">
        <v>155</v>
      </c>
      <c r="S9" s="9" t="s">
        <v>156</v>
      </c>
    </row>
    <row r="10" spans="1:19" x14ac:dyDescent="0.25">
      <c r="R10" s="2">
        <f>K43</f>
        <v>1761.3310658483072</v>
      </c>
      <c r="S10" s="43">
        <f>K45</f>
        <v>4662.0611246384851</v>
      </c>
    </row>
    <row r="11" spans="1:19" ht="17.25" x14ac:dyDescent="0.3">
      <c r="A11" s="236" t="s">
        <v>150</v>
      </c>
      <c r="B11" s="237"/>
      <c r="C11" s="237"/>
      <c r="D11" s="237"/>
      <c r="E11" s="237"/>
      <c r="F11" s="238"/>
      <c r="G11" s="40" t="s">
        <v>0</v>
      </c>
      <c r="K11" s="206" t="s">
        <v>15</v>
      </c>
      <c r="L11" s="206"/>
      <c r="M11" s="206"/>
      <c r="N11" s="206"/>
      <c r="O11" s="161">
        <f>O12+O13</f>
        <v>57.4</v>
      </c>
      <c r="P11" s="47" t="s">
        <v>14</v>
      </c>
      <c r="R11" s="130">
        <f>K65/O18*O14</f>
        <v>5801.0948191764164</v>
      </c>
      <c r="S11" s="130">
        <f>K65/O18*O16</f>
        <v>13335.850159026246</v>
      </c>
    </row>
    <row r="12" spans="1:19" ht="15.75" x14ac:dyDescent="0.25">
      <c r="A12" s="214" t="s">
        <v>107</v>
      </c>
      <c r="B12" s="215"/>
      <c r="C12" s="215"/>
      <c r="D12" s="48"/>
      <c r="E12" s="218">
        <f>Insumos!$B$4</f>
        <v>531068.38</v>
      </c>
      <c r="F12" s="218"/>
      <c r="G12" s="1"/>
      <c r="K12" s="206" t="s">
        <v>136</v>
      </c>
      <c r="L12" s="206"/>
      <c r="M12" s="206"/>
      <c r="N12" s="206"/>
      <c r="O12" s="150">
        <v>17.399999999999999</v>
      </c>
      <c r="P12" s="47" t="s">
        <v>14</v>
      </c>
      <c r="R12" s="2">
        <f>K72/O18*O14</f>
        <v>524.27796137230553</v>
      </c>
      <c r="S12" s="2">
        <f>K72/O18*O16</f>
        <v>1205.2366928098979</v>
      </c>
    </row>
    <row r="13" spans="1:19" ht="15.75" x14ac:dyDescent="0.25">
      <c r="A13" s="214" t="s">
        <v>285</v>
      </c>
      <c r="B13" s="215"/>
      <c r="C13" s="215"/>
      <c r="D13" s="216"/>
      <c r="E13" s="198">
        <f>'DEPRECIAÇÃO LINEAR'!D15</f>
        <v>10</v>
      </c>
      <c r="F13" s="198"/>
      <c r="K13" s="206" t="s">
        <v>137</v>
      </c>
      <c r="L13" s="206"/>
      <c r="M13" s="206"/>
      <c r="N13" s="206"/>
      <c r="O13" s="150">
        <v>40</v>
      </c>
      <c r="P13" s="47" t="s">
        <v>14</v>
      </c>
      <c r="R13" s="2">
        <f>K79/O18*O14</f>
        <v>783.33239843318347</v>
      </c>
      <c r="S13" s="2">
        <f>K79/O18*O16</f>
        <v>1800.7641343291575</v>
      </c>
    </row>
    <row r="14" spans="1:19" ht="15" customHeight="1" x14ac:dyDescent="0.25">
      <c r="A14" s="214" t="s">
        <v>23</v>
      </c>
      <c r="B14" s="215"/>
      <c r="C14" s="215"/>
      <c r="D14" s="216"/>
      <c r="E14" s="219">
        <v>2026</v>
      </c>
      <c r="F14" s="220"/>
      <c r="K14" s="223" t="s">
        <v>138</v>
      </c>
      <c r="L14" s="223"/>
      <c r="M14" s="223"/>
      <c r="N14" s="223"/>
      <c r="O14" s="232">
        <f>O12*21</f>
        <v>365.4</v>
      </c>
      <c r="P14" s="234" t="s">
        <v>14</v>
      </c>
      <c r="R14" s="2">
        <f>SUM(R10:R13)</f>
        <v>8870.036244830213</v>
      </c>
      <c r="S14" s="2">
        <f>SUM(S10:S13)</f>
        <v>21003.912110803787</v>
      </c>
    </row>
    <row r="15" spans="1:19" ht="15.75" customHeight="1" x14ac:dyDescent="0.25">
      <c r="A15" s="49" t="s">
        <v>79</v>
      </c>
      <c r="B15" s="48"/>
      <c r="C15" s="48"/>
      <c r="D15" s="48"/>
      <c r="E15" s="198">
        <v>0</v>
      </c>
      <c r="F15" s="198"/>
      <c r="G15" s="41" t="s">
        <v>128</v>
      </c>
      <c r="I15" s="28"/>
      <c r="J15" s="28"/>
      <c r="K15" s="223"/>
      <c r="L15" s="223"/>
      <c r="M15" s="223"/>
      <c r="N15" s="223"/>
      <c r="O15" s="233"/>
      <c r="P15" s="234"/>
      <c r="R15" s="31">
        <f>IFERROR(R14/O14,0)</f>
        <v>24.274866570416567</v>
      </c>
      <c r="S15" s="31">
        <f>IFERROR(S14/O16,0)</f>
        <v>25.004657274766412</v>
      </c>
    </row>
    <row r="16" spans="1:19" ht="15" customHeight="1" x14ac:dyDescent="0.25">
      <c r="A16" s="214" t="s">
        <v>84</v>
      </c>
      <c r="B16" s="215"/>
      <c r="C16" s="215"/>
      <c r="D16" s="215"/>
      <c r="E16" s="198" t="str">
        <f>IF($F$7=$D$95,F104,IF($F$7=$D$107,F116,IF($F$7=$N$95,Q104,IF($F$7=$O$107,P116,""))))</f>
        <v>ATÉ 59 ALUNOS</v>
      </c>
      <c r="F16" s="198"/>
      <c r="I16" s="28"/>
      <c r="J16" s="28"/>
      <c r="K16" s="223" t="s">
        <v>139</v>
      </c>
      <c r="L16" s="223"/>
      <c r="M16" s="223"/>
      <c r="N16" s="223"/>
      <c r="O16" s="232">
        <f>O13*21</f>
        <v>840</v>
      </c>
      <c r="P16" s="234" t="s">
        <v>14</v>
      </c>
    </row>
    <row r="17" spans="1:22" ht="15" customHeight="1" x14ac:dyDescent="0.35">
      <c r="I17" s="28"/>
      <c r="J17" s="28"/>
      <c r="K17" s="223"/>
      <c r="L17" s="223"/>
      <c r="M17" s="223"/>
      <c r="N17" s="223"/>
      <c r="O17" s="233"/>
      <c r="P17" s="234"/>
      <c r="R17" s="2">
        <f>R14+S14</f>
        <v>29873.948355633998</v>
      </c>
      <c r="T17" s="235"/>
      <c r="U17" s="235"/>
      <c r="V17" s="235"/>
    </row>
    <row r="18" spans="1:22" ht="15" customHeight="1" x14ac:dyDescent="0.25">
      <c r="I18" s="28"/>
      <c r="J18" s="28"/>
      <c r="K18" s="223" t="s">
        <v>140</v>
      </c>
      <c r="L18" s="223"/>
      <c r="M18" s="223"/>
      <c r="N18" s="223"/>
      <c r="O18" s="46">
        <f>O16+O14</f>
        <v>1205.4000000000001</v>
      </c>
      <c r="P18" s="47" t="s">
        <v>14</v>
      </c>
      <c r="R18" s="2">
        <f>R17/O18</f>
        <v>24.783431521183008</v>
      </c>
    </row>
    <row r="19" spans="1:22" ht="15.75" customHeight="1" thickBot="1" x14ac:dyDescent="0.35">
      <c r="A19" s="224" t="s">
        <v>1</v>
      </c>
      <c r="B19" s="225"/>
      <c r="C19" s="225"/>
      <c r="D19" s="225"/>
      <c r="E19" s="225"/>
      <c r="F19" s="225"/>
      <c r="I19" s="29"/>
      <c r="J19" s="29"/>
      <c r="K19" s="29"/>
      <c r="L19" s="29"/>
      <c r="M19" s="29"/>
    </row>
    <row r="20" spans="1:22" ht="15" customHeight="1" x14ac:dyDescent="0.25">
      <c r="A20" s="206" t="s">
        <v>106</v>
      </c>
      <c r="B20" s="206"/>
      <c r="C20" s="206"/>
      <c r="D20" s="206"/>
      <c r="E20" s="206"/>
      <c r="F20" s="206"/>
      <c r="H20" s="226" t="s">
        <v>315</v>
      </c>
      <c r="I20" s="227"/>
      <c r="J20" s="227"/>
      <c r="K20" s="227"/>
      <c r="L20" s="227"/>
      <c r="M20" s="227"/>
      <c r="N20" s="228"/>
      <c r="O20" s="93">
        <f>K90</f>
        <v>24.783431521183008</v>
      </c>
      <c r="R20" s="93">
        <f>K90</f>
        <v>24.783431521183008</v>
      </c>
    </row>
    <row r="21" spans="1:22" ht="15.75" thickBot="1" x14ac:dyDescent="0.3">
      <c r="H21" s="229"/>
      <c r="I21" s="230"/>
      <c r="J21" s="230"/>
      <c r="K21" s="230"/>
      <c r="L21" s="230"/>
      <c r="M21" s="230"/>
      <c r="N21" s="231"/>
      <c r="O21" s="2"/>
    </row>
    <row r="23" spans="1:22" ht="17.25" x14ac:dyDescent="0.3">
      <c r="A23" s="224" t="s">
        <v>2</v>
      </c>
      <c r="B23" s="225"/>
      <c r="C23" s="225"/>
      <c r="D23" s="225"/>
      <c r="E23" s="225"/>
      <c r="F23" s="225"/>
      <c r="L23" s="2"/>
    </row>
    <row r="24" spans="1:22" ht="15.75" x14ac:dyDescent="0.25">
      <c r="A24" s="214" t="s">
        <v>11</v>
      </c>
      <c r="B24" s="215"/>
      <c r="C24" s="215"/>
      <c r="D24" s="215"/>
      <c r="E24" s="198">
        <f>IF($F$7=$D$95,F100,IF($F$7=$D$107,F112,IF($F$7=$N$95,Q100,IF($F$7=$O$107,P112,""))))</f>
        <v>6</v>
      </c>
      <c r="F24" s="198"/>
    </row>
    <row r="25" spans="1:22" ht="15.75" x14ac:dyDescent="0.25">
      <c r="A25" s="214" t="s">
        <v>9</v>
      </c>
      <c r="B25" s="215"/>
      <c r="C25" s="215"/>
      <c r="D25" s="216"/>
      <c r="E25" s="218">
        <f>Insumos!$B$5</f>
        <v>2453.2399999999998</v>
      </c>
      <c r="F25" s="218"/>
    </row>
    <row r="26" spans="1:22" ht="15.75" x14ac:dyDescent="0.25">
      <c r="A26" s="214" t="s">
        <v>147</v>
      </c>
      <c r="B26" s="215"/>
      <c r="C26" s="215"/>
      <c r="D26" s="216"/>
      <c r="E26" s="219">
        <v>2</v>
      </c>
      <c r="F26" s="220"/>
    </row>
    <row r="27" spans="1:22" ht="15.75" x14ac:dyDescent="0.25">
      <c r="A27" s="214" t="s">
        <v>148</v>
      </c>
      <c r="B27" s="215"/>
      <c r="C27" s="215"/>
      <c r="D27" s="216"/>
      <c r="E27" s="221">
        <f>Insumos!$B$6</f>
        <v>975.83</v>
      </c>
      <c r="F27" s="222"/>
    </row>
    <row r="28" spans="1:22" ht="15.75" x14ac:dyDescent="0.25">
      <c r="A28" s="214" t="s">
        <v>149</v>
      </c>
      <c r="B28" s="215"/>
      <c r="C28" s="215"/>
      <c r="D28" s="216"/>
      <c r="E28" s="217">
        <v>100000</v>
      </c>
      <c r="F28" s="217"/>
    </row>
    <row r="31" spans="1:22" ht="15.75" x14ac:dyDescent="0.25">
      <c r="A31" s="191" t="s">
        <v>3</v>
      </c>
      <c r="B31" s="192"/>
      <c r="C31" s="192"/>
      <c r="D31" s="192"/>
      <c r="E31" s="192"/>
      <c r="F31" s="192"/>
    </row>
    <row r="32" spans="1:22" ht="15.75" x14ac:dyDescent="0.25">
      <c r="A32" s="214" t="s">
        <v>19</v>
      </c>
      <c r="B32" s="215"/>
      <c r="C32" s="215"/>
      <c r="D32" s="216"/>
      <c r="E32" s="218">
        <f>Insumos!$B$7</f>
        <v>7.6</v>
      </c>
      <c r="F32" s="218"/>
    </row>
    <row r="33" spans="1:14" ht="15.75" x14ac:dyDescent="0.25">
      <c r="A33" s="214" t="s">
        <v>17</v>
      </c>
      <c r="B33" s="215"/>
      <c r="C33" s="215"/>
      <c r="D33" s="216"/>
      <c r="E33" s="46">
        <f>IF($F$7=$D$95,G103,IF($F$7=$D$107,G115,IF($F$7=$N$95,Q103,IF($F$7=$O$107,Q115,""))))</f>
        <v>2.6</v>
      </c>
      <c r="F33" s="50" t="s">
        <v>18</v>
      </c>
    </row>
    <row r="36" spans="1:14" ht="17.25" x14ac:dyDescent="0.3">
      <c r="A36" s="208" t="s">
        <v>20</v>
      </c>
      <c r="B36" s="209"/>
      <c r="C36" s="209"/>
      <c r="D36" s="209"/>
      <c r="E36" s="209"/>
    </row>
    <row r="37" spans="1:14" x14ac:dyDescent="0.25">
      <c r="B37" s="210"/>
      <c r="C37" s="210"/>
      <c r="D37" s="211"/>
      <c r="E37" s="212" t="s">
        <v>4</v>
      </c>
      <c r="F37" s="213"/>
    </row>
    <row r="38" spans="1:14" ht="15.75" x14ac:dyDescent="0.25">
      <c r="A38" s="46" t="s">
        <v>346</v>
      </c>
      <c r="B38" s="214" t="s">
        <v>52</v>
      </c>
      <c r="C38" s="215"/>
      <c r="D38" s="216"/>
      <c r="E38" s="46">
        <f>1/E33</f>
        <v>0.38461538461538458</v>
      </c>
      <c r="F38" s="7" t="s">
        <v>5</v>
      </c>
      <c r="G38" s="7"/>
      <c r="H38" s="7"/>
      <c r="I38" s="7"/>
      <c r="J38" s="7"/>
      <c r="K38" s="58">
        <f>E32*E38</f>
        <v>2.9230769230769225</v>
      </c>
      <c r="L38" s="51" t="s">
        <v>13</v>
      </c>
      <c r="N38" s="2"/>
    </row>
    <row r="39" spans="1:14" ht="15.75" x14ac:dyDescent="0.25">
      <c r="A39" s="46" t="s">
        <v>6</v>
      </c>
      <c r="B39" s="206" t="s">
        <v>152</v>
      </c>
      <c r="C39" s="206"/>
      <c r="D39" s="206"/>
      <c r="E39" s="46">
        <v>0.04</v>
      </c>
      <c r="F39" s="7" t="s">
        <v>5</v>
      </c>
      <c r="G39" s="7"/>
      <c r="H39" s="7"/>
      <c r="I39" s="7"/>
      <c r="J39" s="7"/>
      <c r="K39" s="58">
        <f>E39*E32</f>
        <v>0.30399999999999999</v>
      </c>
      <c r="L39" s="51" t="s">
        <v>13</v>
      </c>
    </row>
    <row r="40" spans="1:14" ht="15.75" x14ac:dyDescent="0.25">
      <c r="A40" s="46" t="s">
        <v>7</v>
      </c>
      <c r="B40" s="206" t="s">
        <v>8</v>
      </c>
      <c r="C40" s="206"/>
      <c r="D40" s="206"/>
      <c r="E40" s="46"/>
      <c r="F40" s="7"/>
      <c r="G40" s="7"/>
      <c r="H40" s="7"/>
      <c r="I40" s="7"/>
      <c r="J40" s="7"/>
      <c r="K40" s="58">
        <f>((E25*E24)+(E26*E24*E27))/E28</f>
        <v>0.26429400000000003</v>
      </c>
      <c r="L40" s="51" t="s">
        <v>13</v>
      </c>
    </row>
    <row r="41" spans="1:14" ht="15.75" x14ac:dyDescent="0.25">
      <c r="A41" s="46" t="s">
        <v>12</v>
      </c>
      <c r="B41" s="206" t="s">
        <v>153</v>
      </c>
      <c r="C41" s="206"/>
      <c r="D41" s="206"/>
      <c r="E41" s="70">
        <v>3.0000000000000001E-6</v>
      </c>
      <c r="F41" s="193" t="s">
        <v>10</v>
      </c>
      <c r="G41" s="193"/>
      <c r="H41" s="193"/>
      <c r="I41" s="7"/>
      <c r="J41" s="7"/>
      <c r="K41" s="58">
        <f>(E41*E12)-(K40)</f>
        <v>1.32891114</v>
      </c>
      <c r="L41" s="51" t="s">
        <v>13</v>
      </c>
    </row>
    <row r="42" spans="1:14" ht="15.75" x14ac:dyDescent="0.25">
      <c r="A42" s="207"/>
      <c r="B42" s="207"/>
      <c r="C42" s="207"/>
      <c r="D42" s="207"/>
      <c r="E42" s="207"/>
      <c r="F42" s="7"/>
      <c r="G42" s="7"/>
      <c r="H42" s="7"/>
      <c r="I42" s="7"/>
      <c r="J42" s="7"/>
      <c r="K42" s="58">
        <f>SUM(K38:K41)</f>
        <v>4.8202820630769221</v>
      </c>
      <c r="L42" s="51" t="s">
        <v>13</v>
      </c>
    </row>
    <row r="43" spans="1:14" ht="21" customHeight="1" x14ac:dyDescent="0.25">
      <c r="A43" s="200" t="s">
        <v>144</v>
      </c>
      <c r="B43" s="200"/>
      <c r="C43" s="200"/>
      <c r="D43" s="200"/>
      <c r="E43" s="200"/>
      <c r="F43" s="200"/>
      <c r="G43" s="200"/>
      <c r="H43" s="200"/>
      <c r="I43" s="200"/>
      <c r="J43" s="200"/>
      <c r="K43" s="68">
        <f>K42*O14</f>
        <v>1761.3310658483072</v>
      </c>
      <c r="L43" s="52" t="s">
        <v>16</v>
      </c>
    </row>
    <row r="45" spans="1:14" ht="18.75" x14ac:dyDescent="0.3">
      <c r="A45" s="190" t="s">
        <v>145</v>
      </c>
      <c r="B45" s="190"/>
      <c r="C45" s="190"/>
      <c r="D45" s="190"/>
      <c r="E45" s="190"/>
      <c r="F45" s="190"/>
      <c r="G45" s="190"/>
      <c r="H45" s="190"/>
      <c r="I45" s="190"/>
      <c r="J45" s="190"/>
      <c r="K45" s="65">
        <f>K42*O16*1.1514</f>
        <v>4662.0611246384851</v>
      </c>
      <c r="L45" s="53" t="s">
        <v>16</v>
      </c>
    </row>
    <row r="46" spans="1:14" ht="15.75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</row>
    <row r="47" spans="1:14" ht="18.75" x14ac:dyDescent="0.3">
      <c r="A47" s="190" t="s">
        <v>146</v>
      </c>
      <c r="B47" s="190"/>
      <c r="C47" s="190"/>
      <c r="D47" s="190"/>
      <c r="E47" s="190"/>
      <c r="F47" s="190"/>
      <c r="G47" s="190"/>
      <c r="H47" s="190"/>
      <c r="I47" s="190"/>
      <c r="J47" s="190"/>
      <c r="K47" s="65">
        <f>K43+K45</f>
        <v>6423.3921904867921</v>
      </c>
      <c r="L47" s="54" t="s">
        <v>16</v>
      </c>
    </row>
    <row r="49" spans="1:12" ht="15.75" x14ac:dyDescent="0.25">
      <c r="A49" s="197" t="s">
        <v>21</v>
      </c>
      <c r="B49" s="204"/>
      <c r="C49" s="204"/>
      <c r="D49" s="204"/>
      <c r="E49" s="204"/>
      <c r="F49" s="7"/>
      <c r="G49" s="7"/>
      <c r="H49" s="7"/>
      <c r="I49" s="7"/>
      <c r="J49" s="7"/>
      <c r="K49" s="7"/>
      <c r="L49" s="7"/>
    </row>
    <row r="50" spans="1:12" ht="15.75" x14ac:dyDescent="0.25">
      <c r="A50" s="3"/>
      <c r="B50" s="139"/>
      <c r="C50" s="139"/>
      <c r="D50" s="139"/>
      <c r="E50" s="139"/>
      <c r="F50" s="7"/>
      <c r="G50" s="7"/>
      <c r="H50" s="205" t="s">
        <v>25</v>
      </c>
      <c r="I50" s="205"/>
      <c r="J50" s="7"/>
      <c r="K50" s="7"/>
      <c r="L50" s="7"/>
    </row>
    <row r="51" spans="1:12" ht="15.75" x14ac:dyDescent="0.25">
      <c r="A51" s="7" t="s">
        <v>22</v>
      </c>
      <c r="B51" s="7"/>
      <c r="C51" s="193" t="s">
        <v>24</v>
      </c>
      <c r="D51" s="193"/>
      <c r="E51" s="193"/>
      <c r="F51" s="193"/>
      <c r="G51" s="7"/>
      <c r="H51" s="195"/>
      <c r="I51" s="195"/>
      <c r="J51" s="58"/>
      <c r="K51" s="59">
        <f>IF(L51="LINEAR",'DEPRECIAÇÃO LINEAR'!H23,(VLOOKUP(E15,'DEPRECIAÇÃO LINEAR'!W12:AM25,17,0)))</f>
        <v>3983.0128500000005</v>
      </c>
      <c r="L51" s="55" t="s">
        <v>130</v>
      </c>
    </row>
    <row r="52" spans="1:12" ht="15.75" x14ac:dyDescent="0.25">
      <c r="A52" s="7" t="s">
        <v>26</v>
      </c>
      <c r="B52" s="7"/>
      <c r="C52" s="193" t="s">
        <v>27</v>
      </c>
      <c r="D52" s="193"/>
      <c r="E52" s="193"/>
      <c r="F52" s="193"/>
      <c r="G52" s="7"/>
      <c r="H52" s="7"/>
      <c r="I52" s="7"/>
      <c r="J52" s="58"/>
      <c r="K52" s="58"/>
      <c r="L52" s="7"/>
    </row>
    <row r="53" spans="1:12" ht="15.75" x14ac:dyDescent="0.25">
      <c r="A53" s="7"/>
      <c r="B53" s="7" t="s">
        <v>31</v>
      </c>
      <c r="C53" s="193" t="s">
        <v>28</v>
      </c>
      <c r="D53" s="193"/>
      <c r="E53" s="193"/>
      <c r="F53" s="193"/>
      <c r="G53" s="7"/>
      <c r="H53" s="7"/>
      <c r="I53" s="7"/>
      <c r="J53" s="58"/>
      <c r="K53" s="58">
        <f>'Motorista de Veiculo Pesado'!E90</f>
        <v>8468.4608078400015</v>
      </c>
      <c r="L53" s="7"/>
    </row>
    <row r="54" spans="1:12" ht="15.75" x14ac:dyDescent="0.25">
      <c r="A54" s="7"/>
      <c r="B54" s="7" t="s">
        <v>32</v>
      </c>
      <c r="C54" s="193" t="s">
        <v>29</v>
      </c>
      <c r="D54" s="193"/>
      <c r="E54" s="193"/>
      <c r="F54" s="193"/>
      <c r="G54" s="7"/>
      <c r="H54" s="7"/>
      <c r="I54" s="7"/>
      <c r="J54" s="58"/>
      <c r="K54" s="58">
        <f>'Monitor de Transporte Escolar'!E90</f>
        <v>4485.726463695999</v>
      </c>
      <c r="L54" s="7"/>
    </row>
    <row r="55" spans="1:12" ht="15.75" x14ac:dyDescent="0.25">
      <c r="A55" s="7" t="s">
        <v>30</v>
      </c>
      <c r="B55" s="7"/>
      <c r="C55" s="193" t="s">
        <v>34</v>
      </c>
      <c r="D55" s="193"/>
      <c r="E55" s="193"/>
      <c r="F55" s="193"/>
      <c r="G55" s="7"/>
      <c r="H55" s="7"/>
      <c r="I55" s="7"/>
      <c r="J55" s="58"/>
      <c r="K55" s="58"/>
      <c r="L55" s="141"/>
    </row>
    <row r="56" spans="1:12" ht="15.75" x14ac:dyDescent="0.25">
      <c r="A56" s="7"/>
      <c r="B56" s="7" t="s">
        <v>33</v>
      </c>
      <c r="C56" s="7" t="s">
        <v>35</v>
      </c>
      <c r="D56" s="7"/>
      <c r="E56" s="7"/>
      <c r="F56" s="7"/>
      <c r="G56" s="7"/>
      <c r="H56" s="7"/>
      <c r="I56" s="7"/>
      <c r="J56" s="58">
        <f>1/100*E12</f>
        <v>5310.6837999999998</v>
      </c>
      <c r="K56" s="58">
        <f>J56/12</f>
        <v>442.55698333333333</v>
      </c>
      <c r="L56" s="7"/>
    </row>
    <row r="57" spans="1:12" ht="15.75" x14ac:dyDescent="0.25">
      <c r="A57" s="7"/>
      <c r="B57" s="7" t="s">
        <v>36</v>
      </c>
      <c r="C57" s="7" t="s">
        <v>37</v>
      </c>
      <c r="D57" s="7"/>
      <c r="E57" s="7"/>
      <c r="F57" s="7"/>
      <c r="G57" s="7"/>
      <c r="H57" s="7"/>
      <c r="I57" s="7"/>
      <c r="J57" s="58">
        <v>230.25</v>
      </c>
      <c r="K57" s="58">
        <f>J57/12</f>
        <v>19.1875</v>
      </c>
      <c r="L57" s="7"/>
    </row>
    <row r="58" spans="1:12" ht="15.75" x14ac:dyDescent="0.25">
      <c r="A58" s="7"/>
      <c r="B58" s="7" t="s">
        <v>38</v>
      </c>
      <c r="C58" s="193" t="s">
        <v>39</v>
      </c>
      <c r="D58" s="193"/>
      <c r="E58" s="193"/>
      <c r="F58" s="193"/>
      <c r="G58" s="7"/>
      <c r="H58" s="7"/>
      <c r="I58" s="7"/>
      <c r="J58" s="58">
        <v>161.80000000000001</v>
      </c>
      <c r="K58" s="58">
        <f>J58/12</f>
        <v>13.483333333333334</v>
      </c>
      <c r="L58" s="7"/>
    </row>
    <row r="59" spans="1:12" ht="15.75" x14ac:dyDescent="0.25">
      <c r="A59" s="7" t="s">
        <v>41</v>
      </c>
      <c r="B59" s="7"/>
      <c r="C59" s="7" t="s">
        <v>40</v>
      </c>
      <c r="D59" s="7"/>
      <c r="E59" s="7"/>
      <c r="F59" s="7"/>
      <c r="G59" s="7"/>
      <c r="H59" s="7"/>
      <c r="I59" s="7"/>
      <c r="J59" s="58">
        <v>0</v>
      </c>
      <c r="K59" s="58">
        <f>J59/12</f>
        <v>0</v>
      </c>
      <c r="L59" s="7"/>
    </row>
    <row r="60" spans="1:12" ht="15.75" x14ac:dyDescent="0.25">
      <c r="A60" s="7" t="s">
        <v>57</v>
      </c>
      <c r="B60" s="7"/>
      <c r="C60" s="193" t="s">
        <v>58</v>
      </c>
      <c r="D60" s="193"/>
      <c r="E60" s="193"/>
      <c r="F60" s="193"/>
      <c r="G60" s="193"/>
      <c r="H60" s="7"/>
      <c r="I60" s="7"/>
      <c r="J60" s="58">
        <f>Insumos!$B$8</f>
        <v>350.88</v>
      </c>
      <c r="K60" s="58">
        <f>4*J60</f>
        <v>1403.52</v>
      </c>
      <c r="L60" s="7"/>
    </row>
    <row r="61" spans="1:12" ht="15.75" x14ac:dyDescent="0.25">
      <c r="A61" s="7" t="s">
        <v>60</v>
      </c>
      <c r="B61" s="7"/>
      <c r="C61" s="139" t="s">
        <v>63</v>
      </c>
      <c r="D61" s="139"/>
      <c r="E61" s="139"/>
      <c r="F61" s="139"/>
      <c r="G61" s="139"/>
      <c r="H61" s="7"/>
      <c r="I61" s="7"/>
      <c r="J61" s="58">
        <f>Insumos!$B$9</f>
        <v>2680.95</v>
      </c>
      <c r="K61" s="58">
        <f>J61/12</f>
        <v>223.41249999999999</v>
      </c>
      <c r="L61" s="7"/>
    </row>
    <row r="62" spans="1:12" ht="15.75" x14ac:dyDescent="0.25">
      <c r="A62" s="7" t="s">
        <v>61</v>
      </c>
      <c r="B62" s="7"/>
      <c r="C62" s="193" t="s">
        <v>62</v>
      </c>
      <c r="D62" s="193"/>
      <c r="E62" s="193"/>
      <c r="F62" s="139"/>
      <c r="G62" s="139"/>
      <c r="H62" s="7"/>
      <c r="I62" s="7"/>
      <c r="J62" s="60">
        <f>Insumos!$B$10</f>
        <v>932.23</v>
      </c>
      <c r="K62" s="58">
        <f>J62/12</f>
        <v>77.685833333333335</v>
      </c>
      <c r="L62" s="7"/>
    </row>
    <row r="63" spans="1:12" ht="15.75" x14ac:dyDescent="0.25">
      <c r="A63" s="7" t="s">
        <v>142</v>
      </c>
      <c r="B63" s="7"/>
      <c r="C63" s="203" t="s">
        <v>143</v>
      </c>
      <c r="D63" s="203"/>
      <c r="E63" s="203"/>
      <c r="F63" s="203"/>
      <c r="G63" s="164"/>
      <c r="H63" s="7"/>
      <c r="I63" s="7"/>
      <c r="J63" s="60">
        <f>Insumos!$B$11</f>
        <v>471.82</v>
      </c>
      <c r="K63" s="72">
        <f>J63/24</f>
        <v>19.659166666666668</v>
      </c>
      <c r="L63" s="7"/>
    </row>
    <row r="64" spans="1:12" ht="15.75" x14ac:dyDescent="0.25">
      <c r="A64" s="7" t="s">
        <v>340</v>
      </c>
      <c r="B64" s="7"/>
      <c r="C64" s="165" t="s">
        <v>343</v>
      </c>
      <c r="D64" s="165"/>
      <c r="E64" s="165"/>
      <c r="F64" s="165"/>
      <c r="G64" s="164"/>
      <c r="H64" s="7"/>
      <c r="I64" s="7"/>
      <c r="J64" s="60">
        <f>Insumos!$B$12</f>
        <v>14.372399999999997</v>
      </c>
      <c r="K64" s="72">
        <f>J64/60</f>
        <v>0.23953999999999995</v>
      </c>
      <c r="L64" s="7"/>
    </row>
    <row r="65" spans="1:13" ht="20.25" customHeight="1" x14ac:dyDescent="0.25">
      <c r="A65" s="259" t="s">
        <v>43</v>
      </c>
      <c r="B65" s="260"/>
      <c r="C65" s="260"/>
      <c r="D65" s="260"/>
      <c r="E65" s="260"/>
      <c r="F65" s="260"/>
      <c r="G65" s="260"/>
      <c r="H65" s="260"/>
      <c r="I65" s="260"/>
      <c r="J65" s="261"/>
      <c r="K65" s="67">
        <f>SUM(K51:K64)</f>
        <v>19136.944978202664</v>
      </c>
      <c r="L65" s="57" t="s">
        <v>16</v>
      </c>
      <c r="M65" s="4"/>
    </row>
    <row r="67" spans="1:13" ht="19.5" customHeight="1" x14ac:dyDescent="0.3">
      <c r="A67" s="262" t="s">
        <v>132</v>
      </c>
      <c r="B67" s="263"/>
      <c r="C67" s="263"/>
      <c r="D67" s="263"/>
      <c r="E67" s="263"/>
      <c r="F67" s="263"/>
      <c r="G67" s="263"/>
      <c r="H67" s="263"/>
      <c r="I67" s="264"/>
      <c r="K67" s="66">
        <f>K47+K65</f>
        <v>25560.337168689457</v>
      </c>
    </row>
    <row r="69" spans="1:13" ht="15.75" x14ac:dyDescent="0.25">
      <c r="A69" s="254" t="s">
        <v>133</v>
      </c>
      <c r="B69" s="255"/>
      <c r="C69" s="255"/>
      <c r="D69" s="255"/>
      <c r="E69" s="256"/>
      <c r="I69" s="265" t="s">
        <v>55</v>
      </c>
      <c r="J69" s="266"/>
    </row>
    <row r="70" spans="1:13" ht="15.75" x14ac:dyDescent="0.25">
      <c r="A70" s="7" t="s">
        <v>341</v>
      </c>
      <c r="B70" s="7"/>
      <c r="C70" s="193" t="s">
        <v>54</v>
      </c>
      <c r="D70" s="193"/>
      <c r="E70" s="193"/>
      <c r="F70" s="193"/>
      <c r="G70" s="7"/>
      <c r="H70" s="7"/>
      <c r="I70" s="168">
        <f>Insumos!$B$15</f>
        <v>2.6599999999999999E-2</v>
      </c>
      <c r="J70" s="7"/>
      <c r="K70" s="58">
        <f>I70*K67</f>
        <v>679.90496868713956</v>
      </c>
      <c r="L70" s="7"/>
    </row>
    <row r="71" spans="1:13" ht="15.75" x14ac:dyDescent="0.25">
      <c r="A71" s="7" t="s">
        <v>342</v>
      </c>
      <c r="B71" s="7"/>
      <c r="C71" s="193" t="s">
        <v>59</v>
      </c>
      <c r="D71" s="193"/>
      <c r="E71" s="193"/>
      <c r="F71" s="193"/>
      <c r="G71" s="7"/>
      <c r="H71" s="7"/>
      <c r="I71" s="169">
        <f>Insumos!$B$16</f>
        <v>0.04</v>
      </c>
      <c r="J71" s="7"/>
      <c r="K71" s="58">
        <f>I71*(K67+K70)</f>
        <v>1049.609685495064</v>
      </c>
      <c r="L71" s="7"/>
    </row>
    <row r="72" spans="1:13" ht="18.75" x14ac:dyDescent="0.3">
      <c r="A72" s="7"/>
      <c r="B72" s="7"/>
      <c r="C72" s="7"/>
      <c r="D72" s="7"/>
      <c r="E72" s="7"/>
      <c r="F72" s="7"/>
      <c r="G72" s="7"/>
      <c r="H72" s="7"/>
      <c r="I72" s="7"/>
      <c r="J72" s="61" t="s">
        <v>131</v>
      </c>
      <c r="K72" s="65">
        <f>SUM(K70:K71)</f>
        <v>1729.5146541822037</v>
      </c>
      <c r="L72" s="54" t="s">
        <v>16</v>
      </c>
    </row>
    <row r="74" spans="1:13" ht="15.75" x14ac:dyDescent="0.25">
      <c r="A74" s="254" t="s">
        <v>134</v>
      </c>
      <c r="B74" s="255"/>
      <c r="C74" s="255"/>
      <c r="D74" s="255"/>
      <c r="E74" s="256"/>
      <c r="F74" s="7"/>
      <c r="G74" s="7"/>
      <c r="H74" s="7"/>
      <c r="I74" s="7"/>
      <c r="J74" s="7"/>
      <c r="K74" s="7"/>
      <c r="L74" s="7"/>
    </row>
    <row r="75" spans="1:13" ht="15.75" x14ac:dyDescent="0.25">
      <c r="A75" s="193" t="s">
        <v>42</v>
      </c>
      <c r="B75" s="193"/>
      <c r="C75" s="193"/>
      <c r="D75" s="193"/>
      <c r="E75" s="193"/>
      <c r="F75" s="193"/>
      <c r="G75" s="7"/>
      <c r="H75" s="7"/>
      <c r="I75" s="219" t="s">
        <v>47</v>
      </c>
      <c r="J75" s="220"/>
      <c r="K75" s="51">
        <f>K67+K72</f>
        <v>27289.85182287166</v>
      </c>
      <c r="L75" s="7"/>
    </row>
    <row r="76" spans="1:13" ht="15.75" x14ac:dyDescent="0.25">
      <c r="A76" s="7" t="s">
        <v>53</v>
      </c>
      <c r="C76" s="7" t="s">
        <v>44</v>
      </c>
      <c r="D76" s="7"/>
      <c r="E76" s="7"/>
      <c r="F76" s="7"/>
      <c r="G76" s="7"/>
      <c r="H76" s="7"/>
      <c r="I76" s="257">
        <f>Insumos!$B$18</f>
        <v>0.05</v>
      </c>
      <c r="J76" s="258"/>
      <c r="K76" s="51">
        <f>$K$75/(1-(SUM($I$76:$J$78)))*I76</f>
        <v>1493.6974177817001</v>
      </c>
      <c r="L76" s="7"/>
    </row>
    <row r="77" spans="1:13" ht="15.75" x14ac:dyDescent="0.25">
      <c r="A77" s="7" t="s">
        <v>344</v>
      </c>
      <c r="C77" s="7" t="s">
        <v>45</v>
      </c>
      <c r="D77" s="7"/>
      <c r="E77" s="7"/>
      <c r="F77" s="7"/>
      <c r="G77" s="7"/>
      <c r="H77" s="7"/>
      <c r="I77" s="257">
        <f>Insumos!$B$19</f>
        <v>6.4999999999999997E-3</v>
      </c>
      <c r="J77" s="258"/>
      <c r="K77" s="51">
        <f>$K$75/(1-(SUM($I$76:$J$78)))*I77</f>
        <v>194.180664311621</v>
      </c>
      <c r="L77" s="7"/>
    </row>
    <row r="78" spans="1:13" ht="15.75" x14ac:dyDescent="0.25">
      <c r="A78" s="7" t="s">
        <v>345</v>
      </c>
      <c r="C78" s="7" t="s">
        <v>46</v>
      </c>
      <c r="D78" s="7"/>
      <c r="E78" s="7"/>
      <c r="F78" s="7"/>
      <c r="G78" s="7"/>
      <c r="H78" s="7"/>
      <c r="I78" s="257">
        <f>Insumos!$B$20</f>
        <v>0.03</v>
      </c>
      <c r="J78" s="258"/>
      <c r="K78" s="51">
        <f>$K$75/(1-(SUM($I$76:$J$78)))*I78</f>
        <v>896.21845066902006</v>
      </c>
      <c r="L78" s="7"/>
    </row>
    <row r="79" spans="1:13" ht="21" customHeight="1" x14ac:dyDescent="0.3">
      <c r="A79" s="251" t="s">
        <v>48</v>
      </c>
      <c r="B79" s="252"/>
      <c r="C79" s="252"/>
      <c r="D79" s="252"/>
      <c r="E79" s="252"/>
      <c r="F79" s="252"/>
      <c r="G79" s="252"/>
      <c r="H79" s="252"/>
      <c r="I79" s="252"/>
      <c r="J79" s="253"/>
      <c r="K79" s="64">
        <f>SUM(K76:K78)</f>
        <v>2584.0965327623412</v>
      </c>
      <c r="L79" s="54" t="s">
        <v>16</v>
      </c>
    </row>
    <row r="81" spans="1:20" x14ac:dyDescent="0.25">
      <c r="C81" s="5"/>
      <c r="D81" s="5"/>
      <c r="E81" s="5"/>
      <c r="F81" s="5"/>
      <c r="K81" s="2"/>
    </row>
    <row r="82" spans="1:20" ht="15.75" x14ac:dyDescent="0.25">
      <c r="A82" s="191" t="s">
        <v>56</v>
      </c>
      <c r="B82" s="191"/>
      <c r="C82" s="191"/>
      <c r="D82" s="191"/>
      <c r="E82" s="191"/>
      <c r="F82" s="191"/>
      <c r="G82" s="191"/>
      <c r="H82" s="191"/>
      <c r="I82" s="191"/>
      <c r="T82" s="43"/>
    </row>
    <row r="83" spans="1:20" ht="15.75" x14ac:dyDescent="0.25">
      <c r="A83" s="140"/>
      <c r="B83" s="140"/>
      <c r="C83" s="140"/>
      <c r="D83" s="140"/>
      <c r="E83" s="140"/>
      <c r="F83" s="140"/>
      <c r="G83" s="140"/>
      <c r="H83" s="140"/>
      <c r="I83" s="140"/>
    </row>
    <row r="84" spans="1:20" ht="15.75" x14ac:dyDescent="0.25">
      <c r="A84" s="191" t="s">
        <v>51</v>
      </c>
      <c r="B84" s="192"/>
      <c r="C84" s="192"/>
      <c r="D84" s="192"/>
      <c r="E84" s="192"/>
      <c r="F84" s="192"/>
      <c r="G84" s="192"/>
      <c r="H84" s="192"/>
    </row>
    <row r="85" spans="1:20" ht="20.25" customHeight="1" x14ac:dyDescent="0.3">
      <c r="A85" s="193" t="s">
        <v>135</v>
      </c>
      <c r="B85" s="193"/>
      <c r="C85" s="193"/>
      <c r="D85" s="193"/>
      <c r="E85" s="193"/>
      <c r="F85" s="193"/>
      <c r="G85" s="193"/>
      <c r="H85" s="193"/>
      <c r="I85" s="193"/>
      <c r="J85" s="193"/>
      <c r="K85" s="62">
        <f>K67+K72+K79</f>
        <v>29873.948355634002</v>
      </c>
    </row>
    <row r="86" spans="1:20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2"/>
    </row>
    <row r="87" spans="1:20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2"/>
      <c r="P87" s="42"/>
    </row>
    <row r="88" spans="1:20" ht="8.25" customHeight="1" x14ac:dyDescent="0.25"/>
    <row r="89" spans="1:20" ht="16.5" customHeight="1" x14ac:dyDescent="0.25">
      <c r="A89" s="194" t="s">
        <v>49</v>
      </c>
      <c r="B89" s="195"/>
      <c r="C89" s="195"/>
      <c r="D89" s="195"/>
      <c r="E89" s="195"/>
      <c r="F89" s="195"/>
      <c r="G89" s="195"/>
      <c r="H89" s="195"/>
      <c r="I89" s="195"/>
      <c r="J89" s="195"/>
      <c r="K89" s="7"/>
      <c r="L89" s="7"/>
    </row>
    <row r="90" spans="1:20" ht="24.75" customHeight="1" x14ac:dyDescent="0.3">
      <c r="A90" s="196" t="s">
        <v>141</v>
      </c>
      <c r="B90" s="196"/>
      <c r="C90" s="196"/>
      <c r="D90" s="196"/>
      <c r="E90" s="196"/>
      <c r="F90" s="196"/>
      <c r="G90" s="196"/>
      <c r="H90" s="196"/>
      <c r="I90" s="196"/>
      <c r="J90" s="196"/>
      <c r="K90" s="71">
        <f>K85/O18</f>
        <v>24.783431521183008</v>
      </c>
      <c r="L90" s="63" t="s">
        <v>50</v>
      </c>
    </row>
    <row r="94" spans="1:20" s="10" customFormat="1" x14ac:dyDescent="0.25"/>
    <row r="95" spans="1:20" s="11" customFormat="1" ht="18.75" x14ac:dyDescent="0.3">
      <c r="B95" s="12" t="s">
        <v>69</v>
      </c>
      <c r="D95" s="188" t="s">
        <v>65</v>
      </c>
      <c r="E95" s="188"/>
      <c r="L95" s="12" t="s">
        <v>69</v>
      </c>
      <c r="M95" s="12"/>
      <c r="N95" s="12" t="s">
        <v>75</v>
      </c>
      <c r="O95" s="12"/>
    </row>
    <row r="96" spans="1:20" s="11" customFormat="1" x14ac:dyDescent="0.25"/>
    <row r="97" spans="2:18" s="11" customFormat="1" x14ac:dyDescent="0.25">
      <c r="B97" s="184" t="s">
        <v>66</v>
      </c>
      <c r="C97" s="184"/>
      <c r="D97" s="13"/>
      <c r="E97" s="13"/>
      <c r="F97" s="189">
        <v>288912</v>
      </c>
      <c r="G97" s="189"/>
      <c r="L97" s="13" t="s">
        <v>66</v>
      </c>
      <c r="M97" s="13"/>
      <c r="N97" s="13"/>
      <c r="O97" s="13"/>
      <c r="P97" s="13"/>
      <c r="Q97" s="30">
        <v>271500</v>
      </c>
    </row>
    <row r="98" spans="2:18" s="11" customFormat="1" x14ac:dyDescent="0.25">
      <c r="B98" s="13" t="s">
        <v>67</v>
      </c>
      <c r="D98" s="13"/>
      <c r="E98" s="13"/>
      <c r="F98" s="185">
        <v>10</v>
      </c>
      <c r="G98" s="185"/>
      <c r="H98" s="11" t="s">
        <v>154</v>
      </c>
      <c r="L98" s="13" t="s">
        <v>67</v>
      </c>
      <c r="M98" s="13"/>
      <c r="N98" s="13"/>
      <c r="O98" s="13"/>
      <c r="P98" s="13"/>
      <c r="Q98" s="13">
        <v>10</v>
      </c>
      <c r="R98" s="11" t="s">
        <v>154</v>
      </c>
    </row>
    <row r="99" spans="2:18" s="11" customFormat="1" x14ac:dyDescent="0.25">
      <c r="B99" s="13" t="s">
        <v>81</v>
      </c>
      <c r="D99" s="13"/>
      <c r="E99" s="13"/>
      <c r="F99" s="137"/>
      <c r="G99" s="137">
        <v>2018</v>
      </c>
      <c r="L99" s="13" t="s">
        <v>81</v>
      </c>
      <c r="N99" s="13"/>
      <c r="O99" s="13"/>
      <c r="P99" s="137"/>
      <c r="Q99" s="137">
        <v>2018</v>
      </c>
    </row>
    <row r="100" spans="2:18" s="11" customFormat="1" x14ac:dyDescent="0.25">
      <c r="B100" s="184" t="s">
        <v>68</v>
      </c>
      <c r="C100" s="184"/>
      <c r="D100" s="184"/>
      <c r="F100" s="185">
        <v>6</v>
      </c>
      <c r="G100" s="185"/>
      <c r="L100" s="13" t="s">
        <v>76</v>
      </c>
      <c r="M100" s="13"/>
      <c r="N100" s="13"/>
      <c r="O100" s="13"/>
      <c r="P100" s="13"/>
      <c r="Q100" s="13">
        <v>6</v>
      </c>
    </row>
    <row r="101" spans="2:18" s="11" customFormat="1" x14ac:dyDescent="0.25">
      <c r="B101" s="184" t="s">
        <v>71</v>
      </c>
      <c r="C101" s="184"/>
      <c r="D101" s="184"/>
      <c r="F101" s="137"/>
      <c r="G101" s="17">
        <v>100000</v>
      </c>
      <c r="L101" s="13" t="s">
        <v>71</v>
      </c>
      <c r="M101" s="13"/>
      <c r="N101" s="13"/>
      <c r="O101" s="13"/>
      <c r="P101" s="13"/>
      <c r="Q101" s="19">
        <v>100000</v>
      </c>
    </row>
    <row r="102" spans="2:18" s="11" customFormat="1" x14ac:dyDescent="0.25">
      <c r="B102" s="184" t="s">
        <v>72</v>
      </c>
      <c r="C102" s="184"/>
      <c r="D102" s="184"/>
      <c r="F102" s="137"/>
      <c r="G102" s="138">
        <v>1533.77</v>
      </c>
      <c r="L102" s="13" t="s">
        <v>72</v>
      </c>
      <c r="M102" s="13"/>
      <c r="N102" s="13"/>
      <c r="O102" s="13"/>
      <c r="P102" s="13"/>
      <c r="Q102" s="69">
        <v>860.69</v>
      </c>
    </row>
    <row r="103" spans="2:18" s="11" customFormat="1" x14ac:dyDescent="0.25">
      <c r="B103" s="184" t="s">
        <v>73</v>
      </c>
      <c r="C103" s="184"/>
      <c r="D103" s="136"/>
      <c r="F103" s="137"/>
      <c r="G103" s="137">
        <v>2.6</v>
      </c>
      <c r="H103" s="13" t="s">
        <v>74</v>
      </c>
      <c r="L103" s="13" t="s">
        <v>73</v>
      </c>
      <c r="M103" s="13"/>
      <c r="N103" s="13"/>
      <c r="O103" s="13"/>
      <c r="P103" s="13"/>
      <c r="Q103" s="13">
        <v>4.7</v>
      </c>
    </row>
    <row r="104" spans="2:18" s="11" customFormat="1" x14ac:dyDescent="0.25">
      <c r="B104" s="184" t="s">
        <v>70</v>
      </c>
      <c r="C104" s="184"/>
      <c r="D104" s="184"/>
      <c r="F104" s="185" t="s">
        <v>125</v>
      </c>
      <c r="G104" s="185"/>
      <c r="L104" s="13" t="s">
        <v>70</v>
      </c>
      <c r="M104" s="13"/>
      <c r="N104" s="13"/>
      <c r="O104" s="13"/>
      <c r="P104" s="13"/>
      <c r="Q104" s="13" t="s">
        <v>124</v>
      </c>
    </row>
    <row r="105" spans="2:18" s="11" customFormat="1" x14ac:dyDescent="0.25"/>
    <row r="106" spans="2:18" s="11" customFormat="1" x14ac:dyDescent="0.25"/>
    <row r="107" spans="2:18" s="11" customFormat="1" ht="18.75" x14ac:dyDescent="0.3">
      <c r="B107" s="12" t="s">
        <v>69</v>
      </c>
      <c r="C107" s="12"/>
      <c r="D107" s="12" t="s">
        <v>77</v>
      </c>
      <c r="E107" s="13"/>
      <c r="F107" s="13"/>
      <c r="G107" s="13"/>
      <c r="H107" s="13"/>
      <c r="L107" s="12" t="s">
        <v>69</v>
      </c>
      <c r="M107" s="16"/>
      <c r="N107" s="16"/>
      <c r="O107" s="12" t="s">
        <v>78</v>
      </c>
    </row>
    <row r="108" spans="2:18" s="11" customFormat="1" x14ac:dyDescent="0.25">
      <c r="B108" s="13"/>
      <c r="C108" s="13"/>
      <c r="D108" s="13"/>
      <c r="E108" s="13"/>
      <c r="F108" s="13"/>
      <c r="G108" s="13"/>
      <c r="H108" s="13"/>
    </row>
    <row r="109" spans="2:18" s="11" customFormat="1" x14ac:dyDescent="0.25">
      <c r="B109" s="184" t="s">
        <v>66</v>
      </c>
      <c r="C109" s="184"/>
      <c r="D109" s="13"/>
      <c r="E109" s="13"/>
      <c r="F109" s="185">
        <v>400</v>
      </c>
      <c r="G109" s="185"/>
      <c r="H109" s="13"/>
      <c r="L109" s="184" t="s">
        <v>66</v>
      </c>
      <c r="M109" s="184"/>
      <c r="N109" s="13"/>
      <c r="O109" s="13"/>
      <c r="P109" s="185" t="s">
        <v>78</v>
      </c>
      <c r="Q109" s="185"/>
      <c r="R109" s="13"/>
    </row>
    <row r="110" spans="2:18" s="11" customFormat="1" x14ac:dyDescent="0.25">
      <c r="B110" s="13" t="s">
        <v>67</v>
      </c>
      <c r="C110" s="13"/>
      <c r="D110" s="13"/>
      <c r="E110" s="13"/>
      <c r="F110" s="185">
        <v>10</v>
      </c>
      <c r="G110" s="185"/>
      <c r="H110" s="13" t="s">
        <v>154</v>
      </c>
      <c r="L110" s="13" t="s">
        <v>67</v>
      </c>
      <c r="M110" s="13"/>
      <c r="N110" s="13"/>
      <c r="O110" s="13"/>
      <c r="P110" s="185">
        <v>8</v>
      </c>
      <c r="Q110" s="185"/>
      <c r="R110" s="13" t="s">
        <v>154</v>
      </c>
    </row>
    <row r="111" spans="2:18" s="11" customFormat="1" x14ac:dyDescent="0.25">
      <c r="B111" s="13" t="s">
        <v>81</v>
      </c>
      <c r="D111" s="13"/>
      <c r="E111" s="13"/>
      <c r="F111" s="137"/>
      <c r="G111" s="137" t="s">
        <v>82</v>
      </c>
      <c r="L111" s="13" t="s">
        <v>81</v>
      </c>
      <c r="N111" s="13"/>
      <c r="O111" s="13"/>
      <c r="P111" s="137"/>
      <c r="Q111" s="137" t="s">
        <v>83</v>
      </c>
      <c r="R111" s="13"/>
    </row>
    <row r="112" spans="2:18" s="11" customFormat="1" x14ac:dyDescent="0.25">
      <c r="B112" s="184" t="s">
        <v>68</v>
      </c>
      <c r="C112" s="184"/>
      <c r="D112" s="184"/>
      <c r="E112" s="13"/>
      <c r="F112" s="185" t="s">
        <v>87</v>
      </c>
      <c r="G112" s="185"/>
      <c r="H112" s="13"/>
      <c r="L112" s="184" t="s">
        <v>68</v>
      </c>
      <c r="M112" s="184"/>
      <c r="N112" s="184"/>
      <c r="O112" s="13"/>
      <c r="P112" s="185" t="s">
        <v>88</v>
      </c>
      <c r="Q112" s="185"/>
      <c r="R112" s="13"/>
    </row>
    <row r="113" spans="2:21" s="11" customFormat="1" x14ac:dyDescent="0.25">
      <c r="B113" s="184" t="s">
        <v>71</v>
      </c>
      <c r="C113" s="184"/>
      <c r="D113" s="184"/>
      <c r="E113" s="13"/>
      <c r="F113" s="137"/>
      <c r="G113" s="137" t="s">
        <v>89</v>
      </c>
      <c r="H113" s="13"/>
      <c r="L113" s="184" t="s">
        <v>71</v>
      </c>
      <c r="M113" s="184"/>
      <c r="N113" s="184"/>
      <c r="O113" s="13"/>
      <c r="P113" s="137"/>
      <c r="Q113" s="137" t="s">
        <v>90</v>
      </c>
      <c r="R113" s="13"/>
    </row>
    <row r="114" spans="2:21" s="11" customFormat="1" x14ac:dyDescent="0.25">
      <c r="B114" s="184" t="s">
        <v>72</v>
      </c>
      <c r="C114" s="184"/>
      <c r="D114" s="184"/>
      <c r="E114" s="13"/>
      <c r="F114" s="137"/>
      <c r="G114" s="137">
        <v>400</v>
      </c>
      <c r="H114" s="13"/>
      <c r="L114" s="184" t="s">
        <v>72</v>
      </c>
      <c r="M114" s="184"/>
      <c r="N114" s="184"/>
      <c r="O114" s="13"/>
      <c r="P114" s="137"/>
      <c r="Q114" s="137">
        <v>4444</v>
      </c>
      <c r="R114" s="13"/>
    </row>
    <row r="115" spans="2:21" s="11" customFormat="1" x14ac:dyDescent="0.25">
      <c r="B115" s="184" t="s">
        <v>73</v>
      </c>
      <c r="C115" s="184"/>
      <c r="D115" s="136"/>
      <c r="E115" s="13"/>
      <c r="F115" s="137"/>
      <c r="G115" s="137">
        <v>2</v>
      </c>
      <c r="H115" s="13" t="s">
        <v>74</v>
      </c>
      <c r="L115" s="184" t="s">
        <v>73</v>
      </c>
      <c r="M115" s="184"/>
      <c r="N115" s="136"/>
      <c r="O115" s="13"/>
      <c r="P115" s="137"/>
      <c r="Q115" s="137">
        <v>4</v>
      </c>
      <c r="R115" s="13" t="s">
        <v>74</v>
      </c>
    </row>
    <row r="116" spans="2:21" s="11" customFormat="1" x14ac:dyDescent="0.25">
      <c r="B116" s="184" t="s">
        <v>70</v>
      </c>
      <c r="C116" s="184"/>
      <c r="D116" s="184"/>
      <c r="E116" s="13"/>
      <c r="F116" s="185" t="s">
        <v>85</v>
      </c>
      <c r="G116" s="185"/>
      <c r="H116" s="13"/>
      <c r="L116" s="184" t="s">
        <v>70</v>
      </c>
      <c r="M116" s="184"/>
      <c r="N116" s="184"/>
      <c r="O116" s="13"/>
      <c r="P116" s="185" t="s">
        <v>86</v>
      </c>
      <c r="Q116" s="185"/>
      <c r="R116" s="13"/>
    </row>
    <row r="117" spans="2:21" s="11" customFormat="1" x14ac:dyDescent="0.25"/>
    <row r="118" spans="2:21" s="11" customFormat="1" x14ac:dyDescent="0.25"/>
    <row r="119" spans="2:21" s="11" customFormat="1" ht="18.75" x14ac:dyDescent="0.3">
      <c r="Q119" s="12" t="s">
        <v>65</v>
      </c>
      <c r="R119" s="12"/>
      <c r="T119" s="13" t="s">
        <v>130</v>
      </c>
      <c r="U119" s="13"/>
    </row>
    <row r="120" spans="2:21" s="11" customFormat="1" ht="18.75" x14ac:dyDescent="0.3">
      <c r="Q120" s="12" t="s">
        <v>75</v>
      </c>
      <c r="T120" s="13" t="s">
        <v>129</v>
      </c>
      <c r="U120" s="13"/>
    </row>
    <row r="121" spans="2:21" s="11" customFormat="1" ht="18.75" x14ac:dyDescent="0.3">
      <c r="Q121" s="12" t="s">
        <v>77</v>
      </c>
    </row>
    <row r="122" spans="2:21" s="11" customFormat="1" ht="18" customHeight="1" x14ac:dyDescent="0.3">
      <c r="B122" s="186" t="s">
        <v>172</v>
      </c>
      <c r="C122" s="186"/>
      <c r="Q122" s="12" t="s">
        <v>78</v>
      </c>
    </row>
    <row r="123" spans="2:21" ht="0.75" hidden="1" customHeight="1" x14ac:dyDescent="0.25">
      <c r="B123" s="186"/>
      <c r="C123" s="186"/>
    </row>
    <row r="124" spans="2:21" hidden="1" x14ac:dyDescent="0.25">
      <c r="B124" s="186"/>
      <c r="C124" s="186"/>
    </row>
    <row r="125" spans="2:21" x14ac:dyDescent="0.25">
      <c r="B125" s="186"/>
      <c r="C125" s="186"/>
    </row>
    <row r="126" spans="2:21" ht="24.75" x14ac:dyDescent="0.25">
      <c r="B126" s="94" t="s">
        <v>173</v>
      </c>
      <c r="C126" s="9" t="s">
        <v>174</v>
      </c>
      <c r="D126" s="9"/>
      <c r="E126" s="9"/>
      <c r="F126" s="9" t="s">
        <v>175</v>
      </c>
      <c r="G126" s="9"/>
      <c r="H126" s="9"/>
      <c r="I126" s="9" t="s">
        <v>176</v>
      </c>
      <c r="J126" s="9"/>
      <c r="K126" s="9"/>
      <c r="L126" s="9" t="s">
        <v>177</v>
      </c>
      <c r="M126" s="9"/>
      <c r="N126" s="9"/>
    </row>
    <row r="127" spans="2:21" x14ac:dyDescent="0.25">
      <c r="B127" s="5">
        <v>40</v>
      </c>
      <c r="C127" s="2">
        <f>$K$42*(B127*21)</f>
        <v>4049.0369329846144</v>
      </c>
      <c r="F127" s="2">
        <f>(C127+$K$65)*0.05</f>
        <v>1159.2990955593639</v>
      </c>
      <c r="I127" s="2">
        <f>(C127+$K$65+F127)*6%</f>
        <v>1460.7168604047984</v>
      </c>
      <c r="L127" s="31">
        <f>(C127+$K$65+F127+I127)*14.25%</f>
        <v>3677.3546960690801</v>
      </c>
      <c r="M127" s="9"/>
      <c r="N127" s="9"/>
    </row>
    <row r="128" spans="2:21" x14ac:dyDescent="0.25">
      <c r="B128" s="5">
        <v>50</v>
      </c>
      <c r="C128" s="2">
        <f t="shared" ref="C128:C139" si="0">$K$42*(B128*21)</f>
        <v>5061.296166230768</v>
      </c>
      <c r="F128" s="2">
        <f t="shared" ref="F128:F139" si="1">(C128+$K$65)*0.05</f>
        <v>1209.9120572216716</v>
      </c>
      <c r="I128" s="2">
        <f t="shared" ref="I128:I139" si="2">(C128+$K$65+F128)*6%</f>
        <v>1524.4891920993061</v>
      </c>
      <c r="L128" s="31">
        <f t="shared" ref="L128:L139" si="3">(C128+$K$65+F128+I128)*14.25%</f>
        <v>3837.9015411100031</v>
      </c>
      <c r="M128" s="9"/>
      <c r="N128" s="9"/>
    </row>
    <row r="129" spans="2:14" x14ac:dyDescent="0.25">
      <c r="B129" s="5">
        <v>60</v>
      </c>
      <c r="C129" s="2">
        <f t="shared" si="0"/>
        <v>6073.5553994769216</v>
      </c>
      <c r="F129" s="2">
        <f t="shared" si="1"/>
        <v>1260.5250188839793</v>
      </c>
      <c r="I129" s="2">
        <f t="shared" si="2"/>
        <v>1588.2615237938137</v>
      </c>
      <c r="L129" s="31">
        <f t="shared" si="3"/>
        <v>3998.4483861509261</v>
      </c>
      <c r="M129" s="9"/>
      <c r="N129" s="9"/>
    </row>
    <row r="130" spans="2:14" x14ac:dyDescent="0.25">
      <c r="B130" s="5">
        <v>70</v>
      </c>
      <c r="C130" s="2">
        <f t="shared" si="0"/>
        <v>7085.8146327230752</v>
      </c>
      <c r="F130" s="2">
        <f t="shared" si="1"/>
        <v>1311.1379805462871</v>
      </c>
      <c r="I130" s="2">
        <f t="shared" si="2"/>
        <v>1652.0338554883215</v>
      </c>
      <c r="L130" s="31">
        <f t="shared" si="3"/>
        <v>4158.9952311918487</v>
      </c>
      <c r="M130" s="9"/>
      <c r="N130" s="9"/>
    </row>
    <row r="131" spans="2:14" x14ac:dyDescent="0.25">
      <c r="B131" s="5">
        <v>80</v>
      </c>
      <c r="C131" s="2">
        <f t="shared" si="0"/>
        <v>8098.0738659692288</v>
      </c>
      <c r="F131" s="2">
        <f t="shared" si="1"/>
        <v>1361.7509422085948</v>
      </c>
      <c r="I131" s="2">
        <f t="shared" si="2"/>
        <v>1715.806187182829</v>
      </c>
      <c r="L131" s="31">
        <f t="shared" si="3"/>
        <v>4319.5420762327722</v>
      </c>
      <c r="M131" s="9"/>
      <c r="N131" s="9"/>
    </row>
    <row r="132" spans="2:14" x14ac:dyDescent="0.25">
      <c r="B132" s="5">
        <v>90</v>
      </c>
      <c r="C132" s="2">
        <f t="shared" si="0"/>
        <v>9110.3330992153824</v>
      </c>
      <c r="F132" s="2">
        <f t="shared" si="1"/>
        <v>1412.3639038709025</v>
      </c>
      <c r="I132" s="2">
        <f t="shared" si="2"/>
        <v>1779.578518877337</v>
      </c>
      <c r="L132" s="31">
        <f t="shared" si="3"/>
        <v>4480.0889212736956</v>
      </c>
      <c r="M132" s="9"/>
      <c r="N132" s="9"/>
    </row>
    <row r="133" spans="2:14" x14ac:dyDescent="0.25">
      <c r="B133" s="5">
        <v>100</v>
      </c>
      <c r="C133" s="2">
        <f t="shared" si="0"/>
        <v>10122.592332461536</v>
      </c>
      <c r="F133" s="2">
        <f t="shared" si="1"/>
        <v>1462.97686553321</v>
      </c>
      <c r="I133" s="2">
        <f t="shared" si="2"/>
        <v>1843.3508505718444</v>
      </c>
      <c r="L133" s="31">
        <f t="shared" si="3"/>
        <v>4640.6357663146182</v>
      </c>
      <c r="M133" s="9"/>
      <c r="N133" s="9"/>
    </row>
    <row r="134" spans="2:14" x14ac:dyDescent="0.25">
      <c r="B134" s="5">
        <v>110</v>
      </c>
      <c r="C134" s="2">
        <f t="shared" si="0"/>
        <v>11134.85156570769</v>
      </c>
      <c r="F134" s="2">
        <f t="shared" si="1"/>
        <v>1513.5898271955177</v>
      </c>
      <c r="I134" s="2">
        <f t="shared" si="2"/>
        <v>1907.1231822663524</v>
      </c>
      <c r="L134" s="31">
        <f t="shared" si="3"/>
        <v>4801.1826113555417</v>
      </c>
      <c r="M134" s="9"/>
      <c r="N134" s="9"/>
    </row>
    <row r="135" spans="2:14" x14ac:dyDescent="0.25">
      <c r="B135" s="5">
        <v>120</v>
      </c>
      <c r="C135" s="2">
        <f t="shared" si="0"/>
        <v>12147.110798953843</v>
      </c>
      <c r="F135" s="2">
        <f t="shared" si="1"/>
        <v>1564.2027888578255</v>
      </c>
      <c r="I135" s="2">
        <f t="shared" si="2"/>
        <v>1970.8955139608597</v>
      </c>
      <c r="L135" s="31">
        <f t="shared" si="3"/>
        <v>4961.7294563964642</v>
      </c>
      <c r="M135" s="9"/>
      <c r="N135" s="9"/>
    </row>
    <row r="136" spans="2:14" x14ac:dyDescent="0.25">
      <c r="B136" s="5">
        <v>130</v>
      </c>
      <c r="C136" s="2">
        <f t="shared" si="0"/>
        <v>13159.370032199997</v>
      </c>
      <c r="F136" s="2">
        <f t="shared" si="1"/>
        <v>1614.8157505201332</v>
      </c>
      <c r="I136" s="2">
        <f t="shared" si="2"/>
        <v>2034.6678456553677</v>
      </c>
      <c r="L136" s="31">
        <f t="shared" si="3"/>
        <v>5122.2763014373886</v>
      </c>
      <c r="M136" s="9"/>
      <c r="N136" s="9"/>
    </row>
    <row r="137" spans="2:14" x14ac:dyDescent="0.25">
      <c r="B137" s="5">
        <v>140</v>
      </c>
      <c r="C137" s="2">
        <f t="shared" si="0"/>
        <v>14171.62926544615</v>
      </c>
      <c r="F137" s="2">
        <f t="shared" si="1"/>
        <v>1665.4287121824409</v>
      </c>
      <c r="I137" s="2">
        <f t="shared" si="2"/>
        <v>2098.4401773498753</v>
      </c>
      <c r="L137" s="31">
        <f t="shared" si="3"/>
        <v>5282.8231464783103</v>
      </c>
      <c r="M137" s="9"/>
      <c r="N137" s="9"/>
    </row>
    <row r="138" spans="2:14" x14ac:dyDescent="0.25">
      <c r="B138" s="5">
        <v>150</v>
      </c>
      <c r="C138" s="2">
        <f t="shared" si="0"/>
        <v>15183.888498692304</v>
      </c>
      <c r="F138" s="2">
        <f t="shared" si="1"/>
        <v>1716.0416738447486</v>
      </c>
      <c r="I138" s="2">
        <f t="shared" si="2"/>
        <v>2162.2125090443828</v>
      </c>
      <c r="L138" s="31">
        <f t="shared" si="3"/>
        <v>5443.3699915192337</v>
      </c>
      <c r="M138" s="9"/>
      <c r="N138" s="9"/>
    </row>
    <row r="139" spans="2:14" x14ac:dyDescent="0.25">
      <c r="B139" s="5">
        <v>160</v>
      </c>
      <c r="C139" s="2">
        <f t="shared" si="0"/>
        <v>16196.147731938458</v>
      </c>
      <c r="F139" s="2">
        <f t="shared" si="1"/>
        <v>1766.6546355070561</v>
      </c>
      <c r="I139" s="2">
        <f t="shared" si="2"/>
        <v>2225.9848407388904</v>
      </c>
      <c r="L139" s="31">
        <f t="shared" si="3"/>
        <v>5603.9168365601563</v>
      </c>
      <c r="M139" s="9"/>
      <c r="N139" s="9"/>
    </row>
    <row r="140" spans="2:14" x14ac:dyDescent="0.25">
      <c r="B140" s="5"/>
    </row>
    <row r="143" spans="2:14" x14ac:dyDescent="0.25">
      <c r="B143" s="187" t="s">
        <v>178</v>
      </c>
      <c r="C143" s="187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</row>
    <row r="144" spans="2:14" x14ac:dyDescent="0.25">
      <c r="B144" s="187"/>
      <c r="C144" s="187"/>
    </row>
    <row r="145" spans="2:14" x14ac:dyDescent="0.25">
      <c r="B145" s="187"/>
      <c r="C145" s="187"/>
    </row>
    <row r="146" spans="2:14" x14ac:dyDescent="0.25">
      <c r="B146" s="187"/>
      <c r="C146" s="187"/>
    </row>
    <row r="147" spans="2:14" ht="24.75" x14ac:dyDescent="0.25">
      <c r="B147" s="94" t="s">
        <v>173</v>
      </c>
      <c r="C147" s="9" t="s">
        <v>174</v>
      </c>
      <c r="D147" s="9"/>
      <c r="E147" s="9"/>
      <c r="F147" s="9" t="s">
        <v>175</v>
      </c>
      <c r="G147" s="9"/>
      <c r="H147" s="9"/>
      <c r="I147" s="9" t="s">
        <v>176</v>
      </c>
      <c r="J147" s="9"/>
      <c r="K147" s="9"/>
      <c r="L147" s="9" t="s">
        <v>177</v>
      </c>
      <c r="M147" s="9"/>
      <c r="N147" s="9"/>
    </row>
    <row r="148" spans="2:14" x14ac:dyDescent="0.25">
      <c r="B148" s="5">
        <v>40</v>
      </c>
      <c r="C148" s="2">
        <f>($K$42*(B148*21))*1.154</f>
        <v>4672.5886206642444</v>
      </c>
      <c r="F148" s="2">
        <f>(C148+$K$65)*0.05</f>
        <v>1190.4766799433455</v>
      </c>
      <c r="I148" s="2">
        <f>(C148+$K$65+F148)*6%</f>
        <v>1500.0006167286153</v>
      </c>
      <c r="L148" s="31">
        <f>(C148+$K$65+F148+I148)*14.25%</f>
        <v>3776.2515526142888</v>
      </c>
      <c r="M148" s="9"/>
      <c r="N148" s="9"/>
    </row>
    <row r="149" spans="2:14" x14ac:dyDescent="0.25">
      <c r="B149" s="5">
        <v>50</v>
      </c>
      <c r="C149" s="2">
        <f t="shared" ref="C149:C160" si="4">($K$42*(B149*21))*1.154</f>
        <v>5840.735775830306</v>
      </c>
      <c r="F149" s="2">
        <f t="shared" ref="F149:F160" si="5">(C149+$K$65)*0.05</f>
        <v>1248.8840377016486</v>
      </c>
      <c r="I149" s="2">
        <f t="shared" ref="I149:I160" si="6">(C149+$K$65+F149)*6%</f>
        <v>1573.593887504077</v>
      </c>
      <c r="L149" s="31">
        <f t="shared" ref="L149:L160" si="7">(C149+$K$65+F149+I149)*14.25%</f>
        <v>3961.5226117915136</v>
      </c>
      <c r="M149" s="9"/>
      <c r="N149" s="9"/>
    </row>
    <row r="150" spans="2:14" x14ac:dyDescent="0.25">
      <c r="B150" s="5">
        <v>60</v>
      </c>
      <c r="C150" s="2">
        <f t="shared" si="4"/>
        <v>7008.8829309963667</v>
      </c>
      <c r="F150" s="2">
        <f t="shared" si="5"/>
        <v>1307.2913954599517</v>
      </c>
      <c r="I150" s="2">
        <f t="shared" si="6"/>
        <v>1647.1871582795388</v>
      </c>
      <c r="L150" s="31">
        <f t="shared" si="7"/>
        <v>4146.7936709687392</v>
      </c>
      <c r="M150" s="9"/>
      <c r="N150" s="9"/>
    </row>
    <row r="151" spans="2:14" x14ac:dyDescent="0.25">
      <c r="B151" s="5">
        <v>70</v>
      </c>
      <c r="C151" s="2">
        <f t="shared" si="4"/>
        <v>8177.0300861624282</v>
      </c>
      <c r="F151" s="2">
        <f t="shared" si="5"/>
        <v>1365.6987532182548</v>
      </c>
      <c r="I151" s="2">
        <f t="shared" si="6"/>
        <v>1720.7804290550007</v>
      </c>
      <c r="L151" s="31">
        <f t="shared" si="7"/>
        <v>4332.0647301459639</v>
      </c>
      <c r="M151" s="9"/>
      <c r="N151" s="9"/>
    </row>
    <row r="152" spans="2:14" x14ac:dyDescent="0.25">
      <c r="B152" s="5">
        <v>80</v>
      </c>
      <c r="C152" s="2">
        <f t="shared" si="4"/>
        <v>9345.1772413284889</v>
      </c>
      <c r="F152" s="2">
        <f t="shared" si="5"/>
        <v>1424.1061109765578</v>
      </c>
      <c r="I152" s="2">
        <f t="shared" si="6"/>
        <v>1794.3736998304626</v>
      </c>
      <c r="L152" s="31">
        <f t="shared" si="7"/>
        <v>4517.3357893231896</v>
      </c>
      <c r="M152" s="9"/>
      <c r="N152" s="9"/>
    </row>
    <row r="153" spans="2:14" x14ac:dyDescent="0.25">
      <c r="B153" s="5">
        <v>90</v>
      </c>
      <c r="C153" s="2">
        <f t="shared" si="4"/>
        <v>10513.32439649455</v>
      </c>
      <c r="F153" s="2">
        <f t="shared" si="5"/>
        <v>1482.5134687348609</v>
      </c>
      <c r="I153" s="2">
        <f t="shared" si="6"/>
        <v>1867.9669706059244</v>
      </c>
      <c r="L153" s="31">
        <f t="shared" si="7"/>
        <v>4702.6068485004143</v>
      </c>
      <c r="M153" s="9"/>
      <c r="N153" s="9"/>
    </row>
    <row r="154" spans="2:14" x14ac:dyDescent="0.25">
      <c r="B154" s="5">
        <v>100</v>
      </c>
      <c r="C154" s="2">
        <f t="shared" si="4"/>
        <v>11681.471551660612</v>
      </c>
      <c r="F154" s="2">
        <f t="shared" si="5"/>
        <v>1540.920826493164</v>
      </c>
      <c r="I154" s="2">
        <f t="shared" si="6"/>
        <v>1941.5602413813863</v>
      </c>
      <c r="L154" s="31">
        <f t="shared" si="7"/>
        <v>4887.8779076776391</v>
      </c>
      <c r="M154" s="9"/>
      <c r="N154" s="9"/>
    </row>
    <row r="155" spans="2:14" x14ac:dyDescent="0.25">
      <c r="B155" s="5">
        <v>110</v>
      </c>
      <c r="C155" s="2">
        <f t="shared" si="4"/>
        <v>12849.618706826674</v>
      </c>
      <c r="F155" s="2">
        <f t="shared" si="5"/>
        <v>1599.3281842514671</v>
      </c>
      <c r="I155" s="2">
        <f t="shared" si="6"/>
        <v>2015.1535121568484</v>
      </c>
      <c r="L155" s="31">
        <f t="shared" si="7"/>
        <v>5073.1489668548647</v>
      </c>
      <c r="M155" s="9"/>
      <c r="N155" s="9"/>
    </row>
    <row r="156" spans="2:14" x14ac:dyDescent="0.25">
      <c r="B156" s="5">
        <v>120</v>
      </c>
      <c r="C156" s="2">
        <f t="shared" si="4"/>
        <v>14017.765861992733</v>
      </c>
      <c r="F156" s="2">
        <f t="shared" si="5"/>
        <v>1657.7355420097699</v>
      </c>
      <c r="I156" s="2">
        <f t="shared" si="6"/>
        <v>2088.7467829323095</v>
      </c>
      <c r="L156" s="31">
        <f t="shared" si="7"/>
        <v>5258.4200260320886</v>
      </c>
      <c r="M156" s="9"/>
      <c r="N156" s="9"/>
    </row>
    <row r="157" spans="2:14" x14ac:dyDescent="0.25">
      <c r="B157" s="5">
        <v>130</v>
      </c>
      <c r="C157" s="2">
        <f t="shared" si="4"/>
        <v>15185.913017158795</v>
      </c>
      <c r="F157" s="2">
        <f t="shared" si="5"/>
        <v>1716.1428997680732</v>
      </c>
      <c r="I157" s="2">
        <f t="shared" si="6"/>
        <v>2162.3400537077719</v>
      </c>
      <c r="L157" s="31">
        <f t="shared" si="7"/>
        <v>5443.6910852093151</v>
      </c>
      <c r="M157" s="9"/>
      <c r="N157" s="9"/>
    </row>
    <row r="158" spans="2:14" x14ac:dyDescent="0.25">
      <c r="B158" s="5">
        <v>140</v>
      </c>
      <c r="C158" s="2">
        <f t="shared" si="4"/>
        <v>16354.060172324856</v>
      </c>
      <c r="F158" s="2">
        <f t="shared" si="5"/>
        <v>1774.5502575263761</v>
      </c>
      <c r="I158" s="2">
        <f t="shared" si="6"/>
        <v>2235.9333244832337</v>
      </c>
      <c r="L158" s="31">
        <f t="shared" si="7"/>
        <v>5628.9621443865399</v>
      </c>
      <c r="M158" s="9"/>
      <c r="N158" s="9"/>
    </row>
    <row r="159" spans="2:14" x14ac:dyDescent="0.25">
      <c r="B159" s="5">
        <v>150</v>
      </c>
      <c r="C159" s="2">
        <f t="shared" si="4"/>
        <v>17522.207327490916</v>
      </c>
      <c r="F159" s="2">
        <f t="shared" si="5"/>
        <v>1832.9576152846794</v>
      </c>
      <c r="I159" s="2">
        <f t="shared" si="6"/>
        <v>2309.5265952586956</v>
      </c>
      <c r="L159" s="31">
        <f t="shared" si="7"/>
        <v>5814.2332035637655</v>
      </c>
      <c r="M159" s="9"/>
      <c r="N159" s="9"/>
    </row>
    <row r="160" spans="2:14" x14ac:dyDescent="0.25">
      <c r="B160" s="5">
        <v>160</v>
      </c>
      <c r="C160" s="2">
        <f t="shared" si="4"/>
        <v>18690.354482656978</v>
      </c>
      <c r="F160" s="2">
        <f t="shared" si="5"/>
        <v>1891.3649730429822</v>
      </c>
      <c r="I160" s="2">
        <f t="shared" si="6"/>
        <v>2383.1198660341574</v>
      </c>
      <c r="L160" s="31">
        <f t="shared" si="7"/>
        <v>5999.5042627409903</v>
      </c>
      <c r="M160" s="9"/>
      <c r="N160" s="9"/>
    </row>
  </sheetData>
  <mergeCells count="121">
    <mergeCell ref="A11:F11"/>
    <mergeCell ref="K11:N11"/>
    <mergeCell ref="A12:C12"/>
    <mergeCell ref="E12:F12"/>
    <mergeCell ref="K12:N12"/>
    <mergeCell ref="A13:D13"/>
    <mergeCell ref="E13:F13"/>
    <mergeCell ref="K13:N13"/>
    <mergeCell ref="C2:F6"/>
    <mergeCell ref="H3:P5"/>
    <mergeCell ref="F7:H7"/>
    <mergeCell ref="K7:N7"/>
    <mergeCell ref="B8:C8"/>
    <mergeCell ref="I9:P9"/>
    <mergeCell ref="A9:F9"/>
    <mergeCell ref="O16:O17"/>
    <mergeCell ref="P16:P17"/>
    <mergeCell ref="T17:V17"/>
    <mergeCell ref="A14:D14"/>
    <mergeCell ref="E14:F14"/>
    <mergeCell ref="K14:N15"/>
    <mergeCell ref="O14:O15"/>
    <mergeCell ref="P14:P15"/>
    <mergeCell ref="E15:F15"/>
    <mergeCell ref="K18:N18"/>
    <mergeCell ref="A19:F19"/>
    <mergeCell ref="A20:F20"/>
    <mergeCell ref="H20:N21"/>
    <mergeCell ref="A23:F23"/>
    <mergeCell ref="A24:D24"/>
    <mergeCell ref="E24:F24"/>
    <mergeCell ref="A16:D16"/>
    <mergeCell ref="E16:F16"/>
    <mergeCell ref="K16:N17"/>
    <mergeCell ref="A28:D28"/>
    <mergeCell ref="E28:F28"/>
    <mergeCell ref="A31:F31"/>
    <mergeCell ref="A32:D32"/>
    <mergeCell ref="E32:F32"/>
    <mergeCell ref="A33:D33"/>
    <mergeCell ref="A25:D25"/>
    <mergeCell ref="E25:F25"/>
    <mergeCell ref="A26:D26"/>
    <mergeCell ref="E26:F26"/>
    <mergeCell ref="A27:D27"/>
    <mergeCell ref="E27:F27"/>
    <mergeCell ref="B41:D41"/>
    <mergeCell ref="F41:H41"/>
    <mergeCell ref="A42:E42"/>
    <mergeCell ref="A43:J43"/>
    <mergeCell ref="A45:J45"/>
    <mergeCell ref="A47:J47"/>
    <mergeCell ref="A36:E36"/>
    <mergeCell ref="B37:D37"/>
    <mergeCell ref="E37:F37"/>
    <mergeCell ref="B38:D38"/>
    <mergeCell ref="B39:D39"/>
    <mergeCell ref="B40:D40"/>
    <mergeCell ref="C54:F54"/>
    <mergeCell ref="C55:F55"/>
    <mergeCell ref="C58:F58"/>
    <mergeCell ref="C60:G60"/>
    <mergeCell ref="C62:E62"/>
    <mergeCell ref="C63:F63"/>
    <mergeCell ref="A49:E49"/>
    <mergeCell ref="H50:I50"/>
    <mergeCell ref="C51:F51"/>
    <mergeCell ref="H51:I51"/>
    <mergeCell ref="C52:F52"/>
    <mergeCell ref="C53:F53"/>
    <mergeCell ref="A74:E74"/>
    <mergeCell ref="A75:F75"/>
    <mergeCell ref="I75:J75"/>
    <mergeCell ref="I76:J76"/>
    <mergeCell ref="I77:J77"/>
    <mergeCell ref="I78:J78"/>
    <mergeCell ref="A65:J65"/>
    <mergeCell ref="A67:I67"/>
    <mergeCell ref="A69:E69"/>
    <mergeCell ref="I69:J69"/>
    <mergeCell ref="C70:F70"/>
    <mergeCell ref="C71:F71"/>
    <mergeCell ref="D95:E95"/>
    <mergeCell ref="B97:C97"/>
    <mergeCell ref="F97:G97"/>
    <mergeCell ref="F98:G98"/>
    <mergeCell ref="B100:D100"/>
    <mergeCell ref="F100:G100"/>
    <mergeCell ref="A79:J79"/>
    <mergeCell ref="A82:I82"/>
    <mergeCell ref="A84:H84"/>
    <mergeCell ref="A85:J85"/>
    <mergeCell ref="A89:J89"/>
    <mergeCell ref="A90:J90"/>
    <mergeCell ref="L109:M109"/>
    <mergeCell ref="P109:Q109"/>
    <mergeCell ref="F110:G110"/>
    <mergeCell ref="P110:Q110"/>
    <mergeCell ref="B112:D112"/>
    <mergeCell ref="F112:G112"/>
    <mergeCell ref="L112:N112"/>
    <mergeCell ref="P112:Q112"/>
    <mergeCell ref="B101:D101"/>
    <mergeCell ref="B102:D102"/>
    <mergeCell ref="B103:C103"/>
    <mergeCell ref="B104:D104"/>
    <mergeCell ref="F104:G104"/>
    <mergeCell ref="B109:C109"/>
    <mergeCell ref="F109:G109"/>
    <mergeCell ref="B116:D116"/>
    <mergeCell ref="F116:G116"/>
    <mergeCell ref="L116:N116"/>
    <mergeCell ref="P116:Q116"/>
    <mergeCell ref="B122:C125"/>
    <mergeCell ref="B143:C146"/>
    <mergeCell ref="B113:D113"/>
    <mergeCell ref="L113:N113"/>
    <mergeCell ref="B114:D114"/>
    <mergeCell ref="L114:N114"/>
    <mergeCell ref="B115:C115"/>
    <mergeCell ref="L115:M115"/>
  </mergeCells>
  <conditionalFormatting sqref="P19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{61906351-BBC7-4B24-91CE-87D70809FF7D}</x14:id>
        </ext>
      </extLst>
    </cfRule>
  </conditionalFormatting>
  <dataValidations disablePrompts="1" count="3">
    <dataValidation type="list" allowBlank="1" showInputMessage="1" showErrorMessage="1" sqref="F7:H7 T17:V17">
      <formula1>$Q$119:$Q$122</formula1>
    </dataValidation>
    <dataValidation type="list" allowBlank="1" showInputMessage="1" showErrorMessage="1" sqref="L51">
      <formula1>"LINEAR, MÉTODO COLE"</formula1>
    </dataValidation>
    <dataValidation type="list" allowBlank="1" showInputMessage="1" showErrorMessage="1" sqref="E15:F15">
      <formula1>"0,1,2,3,4,5,6,7,8,9,10,11,12,13,14,15"</formula1>
    </dataValidation>
  </dataValidations>
  <pageMargins left="0.51181102362204722" right="0.51181102362204722" top="0.78740157480314965" bottom="0.78740157480314965" header="0.31496062992125984" footer="0.31496062992125984"/>
  <pageSetup paperSize="9" scale="50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1906351-BBC7-4B24-91CE-87D70809FF7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P19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39">
    <tabColor rgb="FF00B0F0"/>
  </sheetPr>
  <dimension ref="A2:V160"/>
  <sheetViews>
    <sheetView tabSelected="1" view="pageBreakPreview" topLeftCell="A45" zoomScale="85" zoomScaleNormal="100" zoomScaleSheetLayoutView="85" workbookViewId="0">
      <selection activeCell="A57" sqref="A57"/>
    </sheetView>
  </sheetViews>
  <sheetFormatPr defaultColWidth="8.85546875" defaultRowHeight="15" x14ac:dyDescent="0.25"/>
  <cols>
    <col min="2" max="2" width="14.140625" customWidth="1"/>
    <col min="3" max="3" width="15.28515625" customWidth="1"/>
    <col min="5" max="5" width="12.42578125" customWidth="1"/>
    <col min="6" max="6" width="13.5703125" customWidth="1"/>
    <col min="7" max="7" width="12.140625" customWidth="1"/>
    <col min="9" max="9" width="10.7109375" customWidth="1"/>
    <col min="10" max="10" width="12.140625" bestFit="1" customWidth="1"/>
    <col min="11" max="11" width="16.42578125" bestFit="1" customWidth="1"/>
    <col min="12" max="12" width="14.42578125" customWidth="1"/>
    <col min="14" max="14" width="6.42578125" customWidth="1"/>
    <col min="15" max="15" width="9" customWidth="1"/>
    <col min="16" max="16" width="10.42578125" customWidth="1"/>
    <col min="17" max="17" width="15.140625" customWidth="1"/>
    <col min="18" max="18" width="14.7109375" bestFit="1" customWidth="1"/>
    <col min="19" max="19" width="19.42578125" bestFit="1" customWidth="1"/>
  </cols>
  <sheetData>
    <row r="2" spans="1:19" x14ac:dyDescent="0.25">
      <c r="C2" s="239" t="s">
        <v>151</v>
      </c>
      <c r="D2" s="240"/>
      <c r="E2" s="240"/>
      <c r="F2" s="240"/>
    </row>
    <row r="3" spans="1:19" x14ac:dyDescent="0.25">
      <c r="C3" s="240"/>
      <c r="D3" s="240"/>
      <c r="E3" s="240"/>
      <c r="F3" s="240"/>
      <c r="H3" s="241" t="s">
        <v>64</v>
      </c>
      <c r="I3" s="239"/>
      <c r="J3" s="239"/>
      <c r="K3" s="239"/>
      <c r="L3" s="239"/>
      <c r="M3" s="239"/>
      <c r="N3" s="239"/>
      <c r="O3" s="239"/>
      <c r="P3" s="239"/>
    </row>
    <row r="4" spans="1:19" x14ac:dyDescent="0.25">
      <c r="C4" s="240"/>
      <c r="D4" s="240"/>
      <c r="E4" s="240"/>
      <c r="F4" s="240"/>
      <c r="H4" s="239"/>
      <c r="I4" s="239"/>
      <c r="J4" s="239"/>
      <c r="K4" s="239"/>
      <c r="L4" s="239"/>
      <c r="M4" s="239"/>
      <c r="N4" s="239"/>
      <c r="O4" s="239"/>
      <c r="P4" s="239"/>
    </row>
    <row r="5" spans="1:19" x14ac:dyDescent="0.25">
      <c r="C5" s="240"/>
      <c r="D5" s="240"/>
      <c r="E5" s="240"/>
      <c r="F5" s="240"/>
      <c r="H5" s="239"/>
      <c r="I5" s="239"/>
      <c r="J5" s="239"/>
      <c r="K5" s="239"/>
      <c r="L5" s="239"/>
      <c r="M5" s="239"/>
      <c r="N5" s="239"/>
      <c r="O5" s="239"/>
      <c r="P5" s="239"/>
    </row>
    <row r="6" spans="1:19" x14ac:dyDescent="0.25">
      <c r="C6" s="240"/>
      <c r="D6" s="240"/>
      <c r="E6" s="240"/>
      <c r="F6" s="240"/>
    </row>
    <row r="7" spans="1:19" ht="21" x14ac:dyDescent="0.35">
      <c r="E7" s="18" t="s">
        <v>80</v>
      </c>
      <c r="F7" s="235" t="s">
        <v>65</v>
      </c>
      <c r="G7" s="235"/>
      <c r="H7" s="235"/>
      <c r="K7" s="242" t="s">
        <v>286</v>
      </c>
      <c r="L7" s="243"/>
      <c r="M7" s="243"/>
      <c r="N7" s="243"/>
    </row>
    <row r="8" spans="1:19" ht="15.75" x14ac:dyDescent="0.25">
      <c r="B8" s="194"/>
      <c r="C8" s="194"/>
      <c r="D8" s="8"/>
      <c r="E8" s="8"/>
      <c r="F8" s="8"/>
      <c r="J8" s="9"/>
    </row>
    <row r="9" spans="1:19" ht="21" x14ac:dyDescent="0.35">
      <c r="A9" s="235" t="s">
        <v>352</v>
      </c>
      <c r="B9" s="235"/>
      <c r="C9" s="235"/>
      <c r="D9" s="235"/>
      <c r="E9" s="235"/>
      <c r="F9" s="235"/>
      <c r="I9" s="244" t="s">
        <v>157</v>
      </c>
      <c r="J9" s="244"/>
      <c r="K9" s="244"/>
      <c r="L9" s="244"/>
      <c r="M9" s="244"/>
      <c r="N9" s="244"/>
      <c r="O9" s="244"/>
      <c r="P9" s="244"/>
      <c r="R9" s="9" t="s">
        <v>155</v>
      </c>
      <c r="S9" s="9" t="s">
        <v>156</v>
      </c>
    </row>
    <row r="10" spans="1:19" x14ac:dyDescent="0.25">
      <c r="R10" s="2">
        <f>K43</f>
        <v>4557.1910680741839</v>
      </c>
      <c r="S10" s="43">
        <f>K45</f>
        <v>3729.6488997107881</v>
      </c>
    </row>
    <row r="11" spans="1:19" ht="17.25" x14ac:dyDescent="0.3">
      <c r="A11" s="236" t="s">
        <v>150</v>
      </c>
      <c r="B11" s="237"/>
      <c r="C11" s="237"/>
      <c r="D11" s="237"/>
      <c r="E11" s="237"/>
      <c r="F11" s="238"/>
      <c r="G11" s="40" t="s">
        <v>0</v>
      </c>
      <c r="K11" s="206" t="s">
        <v>15</v>
      </c>
      <c r="L11" s="206"/>
      <c r="M11" s="206"/>
      <c r="N11" s="206"/>
      <c r="O11" s="161">
        <f>O12+O13</f>
        <v>77.02000000000001</v>
      </c>
      <c r="P11" s="47" t="s">
        <v>14</v>
      </c>
      <c r="R11" s="130">
        <f>K65/O18*O14</f>
        <v>11185.994065420462</v>
      </c>
      <c r="S11" s="130">
        <f>K65/O18*O16</f>
        <v>7950.9509127822021</v>
      </c>
    </row>
    <row r="12" spans="1:19" ht="15.75" x14ac:dyDescent="0.25">
      <c r="A12" s="214" t="s">
        <v>107</v>
      </c>
      <c r="B12" s="215"/>
      <c r="C12" s="215"/>
      <c r="D12" s="48"/>
      <c r="E12" s="218">
        <f>Insumos!$B$4</f>
        <v>531068.38</v>
      </c>
      <c r="F12" s="218"/>
      <c r="G12" s="1"/>
      <c r="K12" s="206" t="s">
        <v>136</v>
      </c>
      <c r="L12" s="206"/>
      <c r="M12" s="206"/>
      <c r="N12" s="206"/>
      <c r="O12" s="151">
        <v>45.02</v>
      </c>
      <c r="P12" s="47" t="s">
        <v>14</v>
      </c>
      <c r="R12" s="2">
        <f>K72/O18*O14</f>
        <v>1084.6435518830244</v>
      </c>
      <c r="S12" s="2">
        <f>K72/O18*O16</f>
        <v>770.95943270228304</v>
      </c>
    </row>
    <row r="13" spans="1:19" ht="15.75" x14ac:dyDescent="0.25">
      <c r="A13" s="214" t="s">
        <v>285</v>
      </c>
      <c r="B13" s="215"/>
      <c r="C13" s="215"/>
      <c r="D13" s="216"/>
      <c r="E13" s="198">
        <f>'DEPRECIAÇÃO LINEAR'!D15</f>
        <v>10</v>
      </c>
      <c r="F13" s="198"/>
      <c r="K13" s="206" t="s">
        <v>137</v>
      </c>
      <c r="L13" s="206"/>
      <c r="M13" s="206"/>
      <c r="N13" s="206"/>
      <c r="O13" s="151">
        <v>32</v>
      </c>
      <c r="P13" s="47" t="s">
        <v>14</v>
      </c>
      <c r="R13" s="2">
        <f>K79/O18*O14</f>
        <v>1620.5839221577814</v>
      </c>
      <c r="S13" s="2">
        <f>K79/O18*O16</f>
        <v>1151.9032765226345</v>
      </c>
    </row>
    <row r="14" spans="1:19" ht="15" customHeight="1" x14ac:dyDescent="0.25">
      <c r="A14" s="214" t="s">
        <v>23</v>
      </c>
      <c r="B14" s="215"/>
      <c r="C14" s="215"/>
      <c r="D14" s="216"/>
      <c r="E14" s="219">
        <v>2026</v>
      </c>
      <c r="F14" s="220"/>
      <c r="K14" s="223" t="s">
        <v>138</v>
      </c>
      <c r="L14" s="223"/>
      <c r="M14" s="223"/>
      <c r="N14" s="223"/>
      <c r="O14" s="232">
        <f>O12*21</f>
        <v>945.42000000000007</v>
      </c>
      <c r="P14" s="234" t="s">
        <v>14</v>
      </c>
      <c r="R14" s="2">
        <f>SUM(R10:R13)</f>
        <v>18448.412607535451</v>
      </c>
      <c r="S14" s="2">
        <f>SUM(S10:S13)</f>
        <v>13603.462521717907</v>
      </c>
    </row>
    <row r="15" spans="1:19" ht="15.75" customHeight="1" x14ac:dyDescent="0.25">
      <c r="A15" s="49" t="s">
        <v>79</v>
      </c>
      <c r="B15" s="48"/>
      <c r="C15" s="48"/>
      <c r="D15" s="48"/>
      <c r="E15" s="198">
        <v>0</v>
      </c>
      <c r="F15" s="198"/>
      <c r="G15" s="41" t="s">
        <v>128</v>
      </c>
      <c r="I15" s="28"/>
      <c r="J15" s="28"/>
      <c r="K15" s="223"/>
      <c r="L15" s="223"/>
      <c r="M15" s="223"/>
      <c r="N15" s="223"/>
      <c r="O15" s="233"/>
      <c r="P15" s="234"/>
      <c r="R15" s="31">
        <f>IFERROR(R14/O14,0)</f>
        <v>19.513457095825611</v>
      </c>
      <c r="S15" s="31">
        <f>IFERROR(S14/O16,0)</f>
        <v>20.243247800175457</v>
      </c>
    </row>
    <row r="16" spans="1:19" ht="15" customHeight="1" x14ac:dyDescent="0.25">
      <c r="A16" s="214" t="s">
        <v>84</v>
      </c>
      <c r="B16" s="215"/>
      <c r="C16" s="215"/>
      <c r="D16" s="215"/>
      <c r="E16" s="198" t="str">
        <f>IF($F$7=$D$95,F104,IF($F$7=$D$107,F116,IF($F$7=$N$95,Q104,IF($F$7=$O$107,P116,""))))</f>
        <v>ATÉ 59 ALUNOS</v>
      </c>
      <c r="F16" s="198"/>
      <c r="I16" s="28"/>
      <c r="J16" s="28"/>
      <c r="K16" s="223" t="s">
        <v>139</v>
      </c>
      <c r="L16" s="223"/>
      <c r="M16" s="223"/>
      <c r="N16" s="223"/>
      <c r="O16" s="232">
        <f>O13*21</f>
        <v>672</v>
      </c>
      <c r="P16" s="234" t="s">
        <v>14</v>
      </c>
    </row>
    <row r="17" spans="1:22" ht="15" customHeight="1" x14ac:dyDescent="0.35">
      <c r="I17" s="28"/>
      <c r="J17" s="28"/>
      <c r="K17" s="223"/>
      <c r="L17" s="223"/>
      <c r="M17" s="223"/>
      <c r="N17" s="223"/>
      <c r="O17" s="233"/>
      <c r="P17" s="234"/>
      <c r="R17" s="2">
        <f>R14+S14</f>
        <v>32051.875129253356</v>
      </c>
      <c r="T17" s="235"/>
      <c r="U17" s="235"/>
      <c r="V17" s="235"/>
    </row>
    <row r="18" spans="1:22" ht="15" customHeight="1" x14ac:dyDescent="0.25">
      <c r="I18" s="28"/>
      <c r="J18" s="28"/>
      <c r="K18" s="223" t="s">
        <v>140</v>
      </c>
      <c r="L18" s="223"/>
      <c r="M18" s="223"/>
      <c r="N18" s="223"/>
      <c r="O18" s="46">
        <f>O16+O14</f>
        <v>1617.42</v>
      </c>
      <c r="P18" s="47" t="s">
        <v>14</v>
      </c>
      <c r="R18" s="2">
        <f>R17/O18</f>
        <v>19.81666798311716</v>
      </c>
    </row>
    <row r="19" spans="1:22" ht="15.75" customHeight="1" x14ac:dyDescent="0.3">
      <c r="A19" s="224" t="s">
        <v>1</v>
      </c>
      <c r="B19" s="225"/>
      <c r="C19" s="225"/>
      <c r="D19" s="225"/>
      <c r="E19" s="225"/>
      <c r="F19" s="225"/>
      <c r="I19" s="29"/>
      <c r="J19" s="29"/>
      <c r="K19" s="29"/>
      <c r="L19" s="29"/>
      <c r="M19" s="29"/>
    </row>
    <row r="20" spans="1:22" ht="15" customHeight="1" thickBot="1" x14ac:dyDescent="0.3">
      <c r="A20" s="206" t="s">
        <v>106</v>
      </c>
      <c r="B20" s="206"/>
      <c r="C20" s="206"/>
      <c r="D20" s="206"/>
      <c r="E20" s="206"/>
      <c r="F20" s="206"/>
      <c r="I20" s="28"/>
      <c r="J20" s="28"/>
      <c r="K20" s="28"/>
      <c r="L20" s="28"/>
      <c r="M20" s="28"/>
      <c r="O20" s="93">
        <f>K90</f>
        <v>19.816667983117163</v>
      </c>
      <c r="R20" s="93">
        <f>K90</f>
        <v>19.816667983117163</v>
      </c>
    </row>
    <row r="21" spans="1:22" x14ac:dyDescent="0.25">
      <c r="H21" s="273" t="s">
        <v>318</v>
      </c>
      <c r="I21" s="274"/>
      <c r="J21" s="274"/>
      <c r="K21" s="274"/>
      <c r="L21" s="274"/>
      <c r="M21" s="274"/>
      <c r="N21" s="275"/>
      <c r="O21" s="2"/>
    </row>
    <row r="22" spans="1:22" ht="15.75" thickBot="1" x14ac:dyDescent="0.3">
      <c r="H22" s="276"/>
      <c r="I22" s="277"/>
      <c r="J22" s="277"/>
      <c r="K22" s="277"/>
      <c r="L22" s="277"/>
      <c r="M22" s="277"/>
      <c r="N22" s="278"/>
    </row>
    <row r="23" spans="1:22" ht="17.25" x14ac:dyDescent="0.3">
      <c r="A23" s="224" t="s">
        <v>2</v>
      </c>
      <c r="B23" s="225"/>
      <c r="C23" s="225"/>
      <c r="D23" s="225"/>
      <c r="E23" s="225"/>
      <c r="F23" s="225"/>
      <c r="L23" s="2"/>
    </row>
    <row r="24" spans="1:22" ht="15.75" x14ac:dyDescent="0.25">
      <c r="A24" s="214" t="s">
        <v>11</v>
      </c>
      <c r="B24" s="215"/>
      <c r="C24" s="215"/>
      <c r="D24" s="215"/>
      <c r="E24" s="198">
        <f>IF($F$7=$D$95,F100,IF($F$7=$D$107,F112,IF($F$7=$N$95,Q100,IF($F$7=$O$107,P112,""))))</f>
        <v>6</v>
      </c>
      <c r="F24" s="198"/>
    </row>
    <row r="25" spans="1:22" ht="15.75" x14ac:dyDescent="0.25">
      <c r="A25" s="214" t="s">
        <v>9</v>
      </c>
      <c r="B25" s="215"/>
      <c r="C25" s="215"/>
      <c r="D25" s="216"/>
      <c r="E25" s="218">
        <f>Insumos!$B$5</f>
        <v>2453.2399999999998</v>
      </c>
      <c r="F25" s="218"/>
    </row>
    <row r="26" spans="1:22" ht="15.75" x14ac:dyDescent="0.25">
      <c r="A26" s="214" t="s">
        <v>147</v>
      </c>
      <c r="B26" s="215"/>
      <c r="C26" s="215"/>
      <c r="D26" s="216"/>
      <c r="E26" s="219">
        <v>2</v>
      </c>
      <c r="F26" s="220"/>
    </row>
    <row r="27" spans="1:22" ht="15.75" x14ac:dyDescent="0.25">
      <c r="A27" s="214" t="s">
        <v>148</v>
      </c>
      <c r="B27" s="215"/>
      <c r="C27" s="215"/>
      <c r="D27" s="216"/>
      <c r="E27" s="221">
        <f>Insumos!$B$6</f>
        <v>975.83</v>
      </c>
      <c r="F27" s="222"/>
    </row>
    <row r="28" spans="1:22" ht="15.75" x14ac:dyDescent="0.25">
      <c r="A28" s="214" t="s">
        <v>149</v>
      </c>
      <c r="B28" s="215"/>
      <c r="C28" s="215"/>
      <c r="D28" s="216"/>
      <c r="E28" s="217">
        <v>100000</v>
      </c>
      <c r="F28" s="217"/>
    </row>
    <row r="31" spans="1:22" ht="15.75" x14ac:dyDescent="0.25">
      <c r="A31" s="191" t="s">
        <v>3</v>
      </c>
      <c r="B31" s="192"/>
      <c r="C31" s="192"/>
      <c r="D31" s="192"/>
      <c r="E31" s="192"/>
      <c r="F31" s="192"/>
    </row>
    <row r="32" spans="1:22" ht="15.75" x14ac:dyDescent="0.25">
      <c r="A32" s="214" t="s">
        <v>19</v>
      </c>
      <c r="B32" s="215"/>
      <c r="C32" s="215"/>
      <c r="D32" s="216"/>
      <c r="E32" s="218">
        <f>Insumos!$B$7</f>
        <v>7.6</v>
      </c>
      <c r="F32" s="218"/>
    </row>
    <row r="33" spans="1:14" ht="15.75" x14ac:dyDescent="0.25">
      <c r="A33" s="214" t="s">
        <v>17</v>
      </c>
      <c r="B33" s="215"/>
      <c r="C33" s="215"/>
      <c r="D33" s="216"/>
      <c r="E33" s="46">
        <f>IF($F$7=$D$95,G103,IF($F$7=$D$107,G115,IF($F$7=$N$95,Q103,IF($F$7=$O$107,Q115,""))))</f>
        <v>2.6</v>
      </c>
      <c r="F33" s="50" t="s">
        <v>18</v>
      </c>
    </row>
    <row r="36" spans="1:14" ht="17.25" x14ac:dyDescent="0.3">
      <c r="A36" s="208" t="s">
        <v>20</v>
      </c>
      <c r="B36" s="209"/>
      <c r="C36" s="209"/>
      <c r="D36" s="209"/>
      <c r="E36" s="209"/>
    </row>
    <row r="37" spans="1:14" x14ac:dyDescent="0.25">
      <c r="B37" s="210"/>
      <c r="C37" s="210"/>
      <c r="D37" s="211"/>
      <c r="E37" s="212" t="s">
        <v>4</v>
      </c>
      <c r="F37" s="213"/>
    </row>
    <row r="38" spans="1:14" ht="15.75" x14ac:dyDescent="0.25">
      <c r="A38" s="46" t="s">
        <v>346</v>
      </c>
      <c r="B38" s="214" t="s">
        <v>52</v>
      </c>
      <c r="C38" s="215"/>
      <c r="D38" s="216"/>
      <c r="E38" s="46">
        <f>1/E33</f>
        <v>0.38461538461538458</v>
      </c>
      <c r="F38" s="7" t="s">
        <v>5</v>
      </c>
      <c r="G38" s="7"/>
      <c r="H38" s="7"/>
      <c r="I38" s="7"/>
      <c r="J38" s="7"/>
      <c r="K38" s="58">
        <f>E32*E38</f>
        <v>2.9230769230769225</v>
      </c>
      <c r="L38" s="51" t="s">
        <v>13</v>
      </c>
      <c r="N38" s="2"/>
    </row>
    <row r="39" spans="1:14" ht="15.75" x14ac:dyDescent="0.25">
      <c r="A39" s="46" t="s">
        <v>6</v>
      </c>
      <c r="B39" s="206" t="s">
        <v>152</v>
      </c>
      <c r="C39" s="206"/>
      <c r="D39" s="206"/>
      <c r="E39" s="46">
        <v>0.04</v>
      </c>
      <c r="F39" s="7" t="s">
        <v>5</v>
      </c>
      <c r="G39" s="7"/>
      <c r="H39" s="7"/>
      <c r="I39" s="7"/>
      <c r="J39" s="7"/>
      <c r="K39" s="58">
        <f>E39*E32</f>
        <v>0.30399999999999999</v>
      </c>
      <c r="L39" s="51" t="s">
        <v>13</v>
      </c>
    </row>
    <row r="40" spans="1:14" ht="15.75" x14ac:dyDescent="0.25">
      <c r="A40" s="46" t="s">
        <v>7</v>
      </c>
      <c r="B40" s="206" t="s">
        <v>8</v>
      </c>
      <c r="C40" s="206"/>
      <c r="D40" s="206"/>
      <c r="E40" s="46"/>
      <c r="F40" s="7"/>
      <c r="G40" s="7"/>
      <c r="H40" s="7"/>
      <c r="I40" s="7"/>
      <c r="J40" s="7"/>
      <c r="K40" s="58">
        <f>((E25*E24)+(E26*E24*E27))/E28</f>
        <v>0.26429400000000003</v>
      </c>
      <c r="L40" s="51" t="s">
        <v>13</v>
      </c>
    </row>
    <row r="41" spans="1:14" ht="15.75" x14ac:dyDescent="0.25">
      <c r="A41" s="46" t="s">
        <v>12</v>
      </c>
      <c r="B41" s="206" t="s">
        <v>153</v>
      </c>
      <c r="C41" s="206"/>
      <c r="D41" s="206"/>
      <c r="E41" s="70">
        <v>3.0000000000000001E-6</v>
      </c>
      <c r="F41" s="193" t="s">
        <v>10</v>
      </c>
      <c r="G41" s="193"/>
      <c r="H41" s="193"/>
      <c r="I41" s="7"/>
      <c r="J41" s="7"/>
      <c r="K41" s="58">
        <f>(E41*E12)-(K40)</f>
        <v>1.32891114</v>
      </c>
      <c r="L41" s="51" t="s">
        <v>13</v>
      </c>
    </row>
    <row r="42" spans="1:14" ht="15.75" x14ac:dyDescent="0.25">
      <c r="A42" s="207"/>
      <c r="B42" s="207"/>
      <c r="C42" s="207"/>
      <c r="D42" s="207"/>
      <c r="E42" s="207"/>
      <c r="F42" s="7"/>
      <c r="G42" s="7"/>
      <c r="H42" s="7"/>
      <c r="I42" s="7"/>
      <c r="J42" s="7"/>
      <c r="K42" s="58">
        <f>SUM(K38:K41)</f>
        <v>4.8202820630769221</v>
      </c>
      <c r="L42" s="51" t="s">
        <v>13</v>
      </c>
    </row>
    <row r="43" spans="1:14" ht="21" customHeight="1" x14ac:dyDescent="0.25">
      <c r="A43" s="200" t="s">
        <v>144</v>
      </c>
      <c r="B43" s="200"/>
      <c r="C43" s="200"/>
      <c r="D43" s="200"/>
      <c r="E43" s="200"/>
      <c r="F43" s="200"/>
      <c r="G43" s="200"/>
      <c r="H43" s="200"/>
      <c r="I43" s="200"/>
      <c r="J43" s="200"/>
      <c r="K43" s="68">
        <f>K42*O14</f>
        <v>4557.1910680741839</v>
      </c>
      <c r="L43" s="52" t="s">
        <v>16</v>
      </c>
    </row>
    <row r="45" spans="1:14" ht="18.75" x14ac:dyDescent="0.3">
      <c r="A45" s="190" t="s">
        <v>145</v>
      </c>
      <c r="B45" s="190"/>
      <c r="C45" s="190"/>
      <c r="D45" s="190"/>
      <c r="E45" s="190"/>
      <c r="F45" s="190"/>
      <c r="G45" s="190"/>
      <c r="H45" s="190"/>
      <c r="I45" s="190"/>
      <c r="J45" s="190"/>
      <c r="K45" s="65">
        <f>K42*O16*1.1514</f>
        <v>3729.6488997107881</v>
      </c>
      <c r="L45" s="53" t="s">
        <v>16</v>
      </c>
    </row>
    <row r="46" spans="1:14" ht="15.75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</row>
    <row r="47" spans="1:14" ht="18.75" x14ac:dyDescent="0.3">
      <c r="A47" s="190" t="s">
        <v>146</v>
      </c>
      <c r="B47" s="190"/>
      <c r="C47" s="190"/>
      <c r="D47" s="190"/>
      <c r="E47" s="190"/>
      <c r="F47" s="190"/>
      <c r="G47" s="190"/>
      <c r="H47" s="190"/>
      <c r="I47" s="190"/>
      <c r="J47" s="190"/>
      <c r="K47" s="65">
        <f>K43+K45</f>
        <v>8286.839967784972</v>
      </c>
      <c r="L47" s="54" t="s">
        <v>16</v>
      </c>
    </row>
    <row r="49" spans="1:12" ht="15.75" x14ac:dyDescent="0.25">
      <c r="A49" s="197" t="s">
        <v>21</v>
      </c>
      <c r="B49" s="204"/>
      <c r="C49" s="204"/>
      <c r="D49" s="204"/>
      <c r="E49" s="204"/>
      <c r="F49" s="7"/>
      <c r="G49" s="7"/>
      <c r="H49" s="7"/>
      <c r="I49" s="7"/>
      <c r="J49" s="7"/>
      <c r="K49" s="7"/>
      <c r="L49" s="7"/>
    </row>
    <row r="50" spans="1:12" ht="15.75" x14ac:dyDescent="0.25">
      <c r="A50" s="3"/>
      <c r="B50" s="45"/>
      <c r="C50" s="45"/>
      <c r="D50" s="45"/>
      <c r="E50" s="45"/>
      <c r="F50" s="7"/>
      <c r="G50" s="7"/>
      <c r="H50" s="205" t="s">
        <v>25</v>
      </c>
      <c r="I50" s="205"/>
      <c r="J50" s="7"/>
      <c r="K50" s="7"/>
      <c r="L50" s="7"/>
    </row>
    <row r="51" spans="1:12" ht="15.75" x14ac:dyDescent="0.25">
      <c r="A51" s="7" t="s">
        <v>22</v>
      </c>
      <c r="B51" s="7"/>
      <c r="C51" s="193" t="s">
        <v>24</v>
      </c>
      <c r="D51" s="193"/>
      <c r="E51" s="193"/>
      <c r="F51" s="193"/>
      <c r="G51" s="7"/>
      <c r="H51" s="195"/>
      <c r="I51" s="195"/>
      <c r="J51" s="58"/>
      <c r="K51" s="59">
        <f>IF(L51="LINEAR",'DEPRECIAÇÃO LINEAR'!H23,(VLOOKUP(E15,'DEPRECIAÇÃO LINEAR'!W12:AM25,17,0)))</f>
        <v>3983.0128500000005</v>
      </c>
      <c r="L51" s="55" t="s">
        <v>130</v>
      </c>
    </row>
    <row r="52" spans="1:12" ht="15.75" x14ac:dyDescent="0.25">
      <c r="A52" s="7" t="s">
        <v>26</v>
      </c>
      <c r="B52" s="7"/>
      <c r="C52" s="193" t="s">
        <v>27</v>
      </c>
      <c r="D52" s="193"/>
      <c r="E52" s="193"/>
      <c r="F52" s="193"/>
      <c r="G52" s="7"/>
      <c r="H52" s="7"/>
      <c r="I52" s="7"/>
      <c r="J52" s="58"/>
      <c r="K52" s="58"/>
      <c r="L52" s="7"/>
    </row>
    <row r="53" spans="1:12" ht="15.75" x14ac:dyDescent="0.25">
      <c r="A53" s="7"/>
      <c r="B53" s="7" t="s">
        <v>31</v>
      </c>
      <c r="C53" s="193" t="s">
        <v>28</v>
      </c>
      <c r="D53" s="193"/>
      <c r="E53" s="193"/>
      <c r="F53" s="193"/>
      <c r="G53" s="7"/>
      <c r="H53" s="7"/>
      <c r="I53" s="7"/>
      <c r="J53" s="58"/>
      <c r="K53" s="58">
        <f>'Motorista de Veiculo Pesado'!E90</f>
        <v>8468.4608078400015</v>
      </c>
      <c r="L53" s="7"/>
    </row>
    <row r="54" spans="1:12" ht="15.75" x14ac:dyDescent="0.25">
      <c r="A54" s="7"/>
      <c r="B54" s="7" t="s">
        <v>32</v>
      </c>
      <c r="C54" s="193" t="s">
        <v>29</v>
      </c>
      <c r="D54" s="193"/>
      <c r="E54" s="193"/>
      <c r="F54" s="193"/>
      <c r="G54" s="7"/>
      <c r="H54" s="7"/>
      <c r="I54" s="7"/>
      <c r="J54" s="58"/>
      <c r="K54" s="58">
        <f>'Monitor de Transporte Escolar'!E90</f>
        <v>4485.726463695999</v>
      </c>
      <c r="L54" s="7"/>
    </row>
    <row r="55" spans="1:12" ht="15.75" x14ac:dyDescent="0.25">
      <c r="A55" s="7" t="s">
        <v>30</v>
      </c>
      <c r="B55" s="7"/>
      <c r="C55" s="193" t="s">
        <v>34</v>
      </c>
      <c r="D55" s="193"/>
      <c r="E55" s="193"/>
      <c r="F55" s="193"/>
      <c r="G55" s="7"/>
      <c r="H55" s="7"/>
      <c r="I55" s="7"/>
      <c r="J55" s="58"/>
      <c r="K55" s="58"/>
      <c r="L55" s="56"/>
    </row>
    <row r="56" spans="1:12" ht="15.75" x14ac:dyDescent="0.25">
      <c r="A56" s="7"/>
      <c r="B56" s="7" t="s">
        <v>33</v>
      </c>
      <c r="C56" s="7" t="s">
        <v>35</v>
      </c>
      <c r="D56" s="7"/>
      <c r="E56" s="7"/>
      <c r="F56" s="7"/>
      <c r="G56" s="7"/>
      <c r="H56" s="7"/>
      <c r="I56" s="7"/>
      <c r="J56" s="58">
        <f>1/100*E12</f>
        <v>5310.6837999999998</v>
      </c>
      <c r="K56" s="58">
        <f>J56/12</f>
        <v>442.55698333333333</v>
      </c>
      <c r="L56" s="7"/>
    </row>
    <row r="57" spans="1:12" ht="15.75" x14ac:dyDescent="0.25">
      <c r="A57" s="7"/>
      <c r="B57" s="7" t="s">
        <v>36</v>
      </c>
      <c r="C57" s="7" t="s">
        <v>37</v>
      </c>
      <c r="D57" s="7"/>
      <c r="E57" s="7"/>
      <c r="F57" s="7"/>
      <c r="G57" s="7"/>
      <c r="H57" s="7"/>
      <c r="I57" s="7"/>
      <c r="J57" s="58">
        <v>230.25</v>
      </c>
      <c r="K57" s="58">
        <f>J57/12</f>
        <v>19.1875</v>
      </c>
      <c r="L57" s="7"/>
    </row>
    <row r="58" spans="1:12" ht="15.75" x14ac:dyDescent="0.25">
      <c r="A58" s="7"/>
      <c r="B58" s="7" t="s">
        <v>38</v>
      </c>
      <c r="C58" s="193" t="s">
        <v>39</v>
      </c>
      <c r="D58" s="193"/>
      <c r="E58" s="193"/>
      <c r="F58" s="193"/>
      <c r="G58" s="7"/>
      <c r="H58" s="7"/>
      <c r="I58" s="7"/>
      <c r="J58" s="58">
        <v>161.80000000000001</v>
      </c>
      <c r="K58" s="58">
        <f>J58/12</f>
        <v>13.483333333333334</v>
      </c>
      <c r="L58" s="7"/>
    </row>
    <row r="59" spans="1:12" ht="15.75" x14ac:dyDescent="0.25">
      <c r="A59" s="7" t="s">
        <v>41</v>
      </c>
      <c r="B59" s="7"/>
      <c r="C59" s="7" t="s">
        <v>40</v>
      </c>
      <c r="D59" s="7"/>
      <c r="E59" s="7"/>
      <c r="F59" s="7"/>
      <c r="G59" s="7"/>
      <c r="H59" s="7"/>
      <c r="I59" s="7"/>
      <c r="J59" s="58">
        <v>0</v>
      </c>
      <c r="K59" s="58">
        <f>J59/12</f>
        <v>0</v>
      </c>
      <c r="L59" s="7"/>
    </row>
    <row r="60" spans="1:12" ht="15.75" x14ac:dyDescent="0.25">
      <c r="A60" s="7" t="s">
        <v>57</v>
      </c>
      <c r="B60" s="7"/>
      <c r="C60" s="193" t="s">
        <v>58</v>
      </c>
      <c r="D60" s="193"/>
      <c r="E60" s="193"/>
      <c r="F60" s="193"/>
      <c r="G60" s="193"/>
      <c r="H60" s="7"/>
      <c r="I60" s="7"/>
      <c r="J60" s="58">
        <f>Insumos!$B$8</f>
        <v>350.88</v>
      </c>
      <c r="K60" s="58">
        <f>4*J60</f>
        <v>1403.52</v>
      </c>
      <c r="L60" s="7"/>
    </row>
    <row r="61" spans="1:12" ht="15.75" x14ac:dyDescent="0.25">
      <c r="A61" s="7" t="s">
        <v>60</v>
      </c>
      <c r="B61" s="7"/>
      <c r="C61" s="45" t="s">
        <v>63</v>
      </c>
      <c r="D61" s="45"/>
      <c r="E61" s="45"/>
      <c r="F61" s="45"/>
      <c r="G61" s="45"/>
      <c r="H61" s="7"/>
      <c r="I61" s="7"/>
      <c r="J61" s="58">
        <f>Insumos!$B$9</f>
        <v>2680.95</v>
      </c>
      <c r="K61" s="58">
        <f>J61/12</f>
        <v>223.41249999999999</v>
      </c>
      <c r="L61" s="7"/>
    </row>
    <row r="62" spans="1:12" ht="15.75" x14ac:dyDescent="0.25">
      <c r="A62" s="7" t="s">
        <v>61</v>
      </c>
      <c r="B62" s="7"/>
      <c r="C62" s="193" t="s">
        <v>62</v>
      </c>
      <c r="D62" s="193"/>
      <c r="E62" s="193"/>
      <c r="F62" s="45"/>
      <c r="G62" s="45"/>
      <c r="H62" s="7"/>
      <c r="I62" s="7"/>
      <c r="J62" s="60">
        <f>Insumos!$B$10</f>
        <v>932.23</v>
      </c>
      <c r="K62" s="58">
        <f>J62/12</f>
        <v>77.685833333333335</v>
      </c>
      <c r="L62" s="7"/>
    </row>
    <row r="63" spans="1:12" ht="15.75" x14ac:dyDescent="0.25">
      <c r="A63" s="7" t="s">
        <v>142</v>
      </c>
      <c r="B63" s="7"/>
      <c r="C63" s="203" t="s">
        <v>143</v>
      </c>
      <c r="D63" s="203"/>
      <c r="E63" s="203"/>
      <c r="F63" s="203"/>
      <c r="G63" s="164"/>
      <c r="H63" s="7"/>
      <c r="I63" s="7"/>
      <c r="J63" s="60">
        <f>Insumos!$B$11</f>
        <v>471.82</v>
      </c>
      <c r="K63" s="72">
        <f>J63/24</f>
        <v>19.659166666666668</v>
      </c>
      <c r="L63" s="7"/>
    </row>
    <row r="64" spans="1:12" ht="15.75" x14ac:dyDescent="0.25">
      <c r="A64" s="7" t="s">
        <v>340</v>
      </c>
      <c r="B64" s="7"/>
      <c r="C64" s="165" t="s">
        <v>343</v>
      </c>
      <c r="D64" s="165"/>
      <c r="E64" s="165"/>
      <c r="F64" s="165"/>
      <c r="G64" s="164"/>
      <c r="H64" s="7"/>
      <c r="I64" s="7"/>
      <c r="J64" s="60">
        <f>Insumos!$B$12</f>
        <v>14.372399999999997</v>
      </c>
      <c r="K64" s="72">
        <f>J64/60</f>
        <v>0.23953999999999995</v>
      </c>
      <c r="L64" s="7"/>
    </row>
    <row r="65" spans="1:13" ht="20.25" customHeight="1" x14ac:dyDescent="0.25">
      <c r="A65" s="259" t="s">
        <v>43</v>
      </c>
      <c r="B65" s="260"/>
      <c r="C65" s="260"/>
      <c r="D65" s="260"/>
      <c r="E65" s="260"/>
      <c r="F65" s="260"/>
      <c r="G65" s="260"/>
      <c r="H65" s="260"/>
      <c r="I65" s="260"/>
      <c r="J65" s="261"/>
      <c r="K65" s="67">
        <f>SUM(K51:K64)</f>
        <v>19136.944978202664</v>
      </c>
      <c r="L65" s="57" t="s">
        <v>16</v>
      </c>
      <c r="M65" s="4"/>
    </row>
    <row r="67" spans="1:13" ht="19.5" customHeight="1" x14ac:dyDescent="0.3">
      <c r="A67" s="262" t="s">
        <v>132</v>
      </c>
      <c r="B67" s="263"/>
      <c r="C67" s="263"/>
      <c r="D67" s="263"/>
      <c r="E67" s="263"/>
      <c r="F67" s="263"/>
      <c r="G67" s="263"/>
      <c r="H67" s="263"/>
      <c r="I67" s="264"/>
      <c r="K67" s="66">
        <f>K47+K65</f>
        <v>27423.784945987638</v>
      </c>
    </row>
    <row r="69" spans="1:13" ht="15.75" x14ac:dyDescent="0.25">
      <c r="A69" s="254" t="s">
        <v>133</v>
      </c>
      <c r="B69" s="255"/>
      <c r="C69" s="255"/>
      <c r="D69" s="255"/>
      <c r="E69" s="256"/>
      <c r="I69" s="265" t="s">
        <v>55</v>
      </c>
      <c r="J69" s="266"/>
    </row>
    <row r="70" spans="1:13" ht="15.75" x14ac:dyDescent="0.25">
      <c r="A70" s="7" t="s">
        <v>341</v>
      </c>
      <c r="B70" s="7"/>
      <c r="C70" s="193" t="s">
        <v>54</v>
      </c>
      <c r="D70" s="193"/>
      <c r="E70" s="193"/>
      <c r="F70" s="193"/>
      <c r="G70" s="7"/>
      <c r="H70" s="7"/>
      <c r="I70" s="168">
        <f>Insumos!$B$15</f>
        <v>2.6599999999999999E-2</v>
      </c>
      <c r="J70" s="7"/>
      <c r="K70" s="58">
        <f>I70*K67</f>
        <v>729.47267956327119</v>
      </c>
      <c r="L70" s="7"/>
    </row>
    <row r="71" spans="1:13" ht="15.75" x14ac:dyDescent="0.25">
      <c r="A71" s="7" t="s">
        <v>342</v>
      </c>
      <c r="B71" s="7"/>
      <c r="C71" s="193" t="s">
        <v>59</v>
      </c>
      <c r="D71" s="193"/>
      <c r="E71" s="193"/>
      <c r="F71" s="193"/>
      <c r="G71" s="7"/>
      <c r="H71" s="7"/>
      <c r="I71" s="169">
        <f>Insumos!$B$16</f>
        <v>0.04</v>
      </c>
      <c r="J71" s="7"/>
      <c r="K71" s="58">
        <f>I71*(K67+K70)</f>
        <v>1126.1303050220363</v>
      </c>
      <c r="L71" s="7"/>
    </row>
    <row r="72" spans="1:13" ht="18.75" x14ac:dyDescent="0.3">
      <c r="A72" s="7"/>
      <c r="B72" s="7"/>
      <c r="C72" s="7"/>
      <c r="D72" s="7"/>
      <c r="E72" s="7"/>
      <c r="F72" s="7"/>
      <c r="G72" s="7"/>
      <c r="H72" s="7"/>
      <c r="I72" s="7"/>
      <c r="J72" s="61" t="s">
        <v>131</v>
      </c>
      <c r="K72" s="65">
        <f>SUM(K70:K71)</f>
        <v>1855.6029845853075</v>
      </c>
      <c r="L72" s="54" t="s">
        <v>16</v>
      </c>
    </row>
    <row r="74" spans="1:13" ht="15.75" x14ac:dyDescent="0.25">
      <c r="A74" s="254" t="s">
        <v>134</v>
      </c>
      <c r="B74" s="255"/>
      <c r="C74" s="255"/>
      <c r="D74" s="255"/>
      <c r="E74" s="256"/>
      <c r="F74" s="7"/>
      <c r="G74" s="7"/>
      <c r="H74" s="7"/>
      <c r="I74" s="7"/>
      <c r="J74" s="7"/>
      <c r="K74" s="7"/>
      <c r="L74" s="7"/>
    </row>
    <row r="75" spans="1:13" ht="15.75" x14ac:dyDescent="0.25">
      <c r="A75" s="193" t="s">
        <v>42</v>
      </c>
      <c r="B75" s="193"/>
      <c r="C75" s="193"/>
      <c r="D75" s="193"/>
      <c r="E75" s="193"/>
      <c r="F75" s="193"/>
      <c r="G75" s="7"/>
      <c r="H75" s="7"/>
      <c r="I75" s="219" t="s">
        <v>47</v>
      </c>
      <c r="J75" s="220"/>
      <c r="K75" s="51">
        <f>K67+K72</f>
        <v>29279.387930572946</v>
      </c>
      <c r="L75" s="7"/>
    </row>
    <row r="76" spans="1:13" ht="15.75" x14ac:dyDescent="0.25">
      <c r="A76" s="7" t="s">
        <v>53</v>
      </c>
      <c r="C76" s="7" t="s">
        <v>44</v>
      </c>
      <c r="D76" s="7"/>
      <c r="E76" s="7"/>
      <c r="F76" s="7"/>
      <c r="G76" s="7"/>
      <c r="H76" s="7"/>
      <c r="I76" s="257">
        <f>Insumos!$B$18</f>
        <v>0.05</v>
      </c>
      <c r="J76" s="258"/>
      <c r="K76" s="51">
        <f>$K$75/(1-(SUM($I$76:$J$78)))*I76</f>
        <v>1602.5937564626684</v>
      </c>
      <c r="L76" s="7"/>
    </row>
    <row r="77" spans="1:13" ht="15.75" x14ac:dyDescent="0.25">
      <c r="A77" s="7" t="s">
        <v>344</v>
      </c>
      <c r="C77" s="7" t="s">
        <v>45</v>
      </c>
      <c r="D77" s="7"/>
      <c r="E77" s="7"/>
      <c r="F77" s="7"/>
      <c r="G77" s="7"/>
      <c r="H77" s="7"/>
      <c r="I77" s="257">
        <f>Insumos!$B$19</f>
        <v>6.4999999999999997E-3</v>
      </c>
      <c r="J77" s="258"/>
      <c r="K77" s="51">
        <f>$K$75/(1-(SUM($I$76:$J$78)))*I77</f>
        <v>208.33718834014687</v>
      </c>
      <c r="L77" s="7"/>
    </row>
    <row r="78" spans="1:13" ht="15.75" x14ac:dyDescent="0.25">
      <c r="A78" s="7" t="s">
        <v>345</v>
      </c>
      <c r="C78" s="7" t="s">
        <v>46</v>
      </c>
      <c r="D78" s="7"/>
      <c r="E78" s="7"/>
      <c r="F78" s="7"/>
      <c r="G78" s="7"/>
      <c r="H78" s="7"/>
      <c r="I78" s="257">
        <f>Insumos!$B$20</f>
        <v>0.03</v>
      </c>
      <c r="J78" s="258"/>
      <c r="K78" s="51">
        <f>$K$75/(1-(SUM($I$76:$J$78)))*I78</f>
        <v>961.55625387760085</v>
      </c>
      <c r="L78" s="7"/>
    </row>
    <row r="79" spans="1:13" ht="21" customHeight="1" x14ac:dyDescent="0.3">
      <c r="A79" s="251" t="s">
        <v>48</v>
      </c>
      <c r="B79" s="252"/>
      <c r="C79" s="252"/>
      <c r="D79" s="252"/>
      <c r="E79" s="252"/>
      <c r="F79" s="252"/>
      <c r="G79" s="252"/>
      <c r="H79" s="252"/>
      <c r="I79" s="252"/>
      <c r="J79" s="253"/>
      <c r="K79" s="64">
        <f>SUM(K76:K78)</f>
        <v>2772.487198680416</v>
      </c>
      <c r="L79" s="54" t="s">
        <v>16</v>
      </c>
    </row>
    <row r="81" spans="1:20" x14ac:dyDescent="0.25">
      <c r="C81" s="5"/>
      <c r="D81" s="5"/>
      <c r="E81" s="5"/>
      <c r="F81" s="5"/>
      <c r="K81" s="2"/>
    </row>
    <row r="82" spans="1:20" ht="15.75" x14ac:dyDescent="0.25">
      <c r="A82" s="191" t="s">
        <v>56</v>
      </c>
      <c r="B82" s="191"/>
      <c r="C82" s="191"/>
      <c r="D82" s="191"/>
      <c r="E82" s="191"/>
      <c r="F82" s="191"/>
      <c r="G82" s="191"/>
      <c r="H82" s="191"/>
      <c r="I82" s="191"/>
      <c r="T82" s="43"/>
    </row>
    <row r="83" spans="1:20" ht="15.75" x14ac:dyDescent="0.25">
      <c r="A83" s="6"/>
      <c r="B83" s="6"/>
      <c r="C83" s="6"/>
      <c r="D83" s="6"/>
      <c r="E83" s="6"/>
      <c r="F83" s="6"/>
      <c r="G83" s="6"/>
      <c r="H83" s="6"/>
      <c r="I83" s="6"/>
    </row>
    <row r="84" spans="1:20" ht="15.75" x14ac:dyDescent="0.25">
      <c r="A84" s="191" t="s">
        <v>51</v>
      </c>
      <c r="B84" s="192"/>
      <c r="C84" s="192"/>
      <c r="D84" s="192"/>
      <c r="E84" s="192"/>
      <c r="F84" s="192"/>
      <c r="G84" s="192"/>
      <c r="H84" s="192"/>
    </row>
    <row r="85" spans="1:20" ht="20.25" customHeight="1" x14ac:dyDescent="0.3">
      <c r="A85" s="193" t="s">
        <v>135</v>
      </c>
      <c r="B85" s="193"/>
      <c r="C85" s="193"/>
      <c r="D85" s="193"/>
      <c r="E85" s="193"/>
      <c r="F85" s="193"/>
      <c r="G85" s="193"/>
      <c r="H85" s="193"/>
      <c r="I85" s="193"/>
      <c r="J85" s="193"/>
      <c r="K85" s="62">
        <f>K67+K72+K79</f>
        <v>32051.875129253363</v>
      </c>
    </row>
    <row r="86" spans="1:20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2"/>
    </row>
    <row r="87" spans="1:20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2"/>
      <c r="P87" s="42"/>
    </row>
    <row r="88" spans="1:20" ht="8.25" customHeight="1" x14ac:dyDescent="0.25"/>
    <row r="89" spans="1:20" ht="16.5" customHeight="1" x14ac:dyDescent="0.25">
      <c r="A89" s="194" t="s">
        <v>49</v>
      </c>
      <c r="B89" s="195"/>
      <c r="C89" s="195"/>
      <c r="D89" s="195"/>
      <c r="E89" s="195"/>
      <c r="F89" s="195"/>
      <c r="G89" s="195"/>
      <c r="H89" s="195"/>
      <c r="I89" s="195"/>
      <c r="J89" s="195"/>
      <c r="K89" s="7"/>
      <c r="L89" s="7"/>
    </row>
    <row r="90" spans="1:20" ht="24.75" customHeight="1" x14ac:dyDescent="0.3">
      <c r="A90" s="196" t="s">
        <v>141</v>
      </c>
      <c r="B90" s="196"/>
      <c r="C90" s="196"/>
      <c r="D90" s="196"/>
      <c r="E90" s="196"/>
      <c r="F90" s="196"/>
      <c r="G90" s="196"/>
      <c r="H90" s="196"/>
      <c r="I90" s="196"/>
      <c r="J90" s="196"/>
      <c r="K90" s="71">
        <f>K85/O18</f>
        <v>19.816667983117163</v>
      </c>
      <c r="L90" s="63" t="s">
        <v>50</v>
      </c>
    </row>
    <row r="94" spans="1:20" s="10" customFormat="1" x14ac:dyDescent="0.25"/>
    <row r="95" spans="1:20" s="11" customFormat="1" ht="18.75" x14ac:dyDescent="0.3">
      <c r="B95" s="12" t="s">
        <v>69</v>
      </c>
      <c r="D95" s="188" t="s">
        <v>65</v>
      </c>
      <c r="E95" s="188"/>
      <c r="L95" s="12" t="s">
        <v>69</v>
      </c>
      <c r="M95" s="12"/>
      <c r="N95" s="12" t="s">
        <v>75</v>
      </c>
      <c r="O95" s="12"/>
    </row>
    <row r="96" spans="1:20" s="11" customFormat="1" x14ac:dyDescent="0.25"/>
    <row r="97" spans="2:18" s="11" customFormat="1" x14ac:dyDescent="0.25">
      <c r="B97" s="184" t="s">
        <v>66</v>
      </c>
      <c r="C97" s="184"/>
      <c r="D97" s="13"/>
      <c r="E97" s="13"/>
      <c r="F97" s="189">
        <v>288912</v>
      </c>
      <c r="G97" s="189"/>
      <c r="L97" s="13" t="s">
        <v>66</v>
      </c>
      <c r="M97" s="13"/>
      <c r="N97" s="13"/>
      <c r="O97" s="13"/>
      <c r="P97" s="13"/>
      <c r="Q97" s="30">
        <v>271500</v>
      </c>
    </row>
    <row r="98" spans="2:18" s="11" customFormat="1" x14ac:dyDescent="0.25">
      <c r="B98" s="13" t="s">
        <v>67</v>
      </c>
      <c r="D98" s="13"/>
      <c r="E98" s="13"/>
      <c r="F98" s="185">
        <v>10</v>
      </c>
      <c r="G98" s="185"/>
      <c r="H98" s="11" t="s">
        <v>154</v>
      </c>
      <c r="L98" s="13" t="s">
        <v>67</v>
      </c>
      <c r="M98" s="13"/>
      <c r="N98" s="13"/>
      <c r="O98" s="13"/>
      <c r="P98" s="13"/>
      <c r="Q98" s="13">
        <v>10</v>
      </c>
      <c r="R98" s="11" t="s">
        <v>154</v>
      </c>
    </row>
    <row r="99" spans="2:18" s="11" customFormat="1" x14ac:dyDescent="0.25">
      <c r="B99" s="13" t="s">
        <v>81</v>
      </c>
      <c r="D99" s="13"/>
      <c r="E99" s="13"/>
      <c r="F99" s="14"/>
      <c r="G99" s="14">
        <v>2018</v>
      </c>
      <c r="L99" s="13" t="s">
        <v>81</v>
      </c>
      <c r="N99" s="13"/>
      <c r="O99" s="13"/>
      <c r="P99" s="14"/>
      <c r="Q99" s="14">
        <v>2018</v>
      </c>
    </row>
    <row r="100" spans="2:18" s="11" customFormat="1" x14ac:dyDescent="0.25">
      <c r="B100" s="184" t="s">
        <v>68</v>
      </c>
      <c r="C100" s="184"/>
      <c r="D100" s="184"/>
      <c r="F100" s="185">
        <v>6</v>
      </c>
      <c r="G100" s="185"/>
      <c r="L100" s="13" t="s">
        <v>76</v>
      </c>
      <c r="M100" s="13"/>
      <c r="N100" s="13"/>
      <c r="O100" s="13"/>
      <c r="P100" s="13"/>
      <c r="Q100" s="13">
        <v>6</v>
      </c>
    </row>
    <row r="101" spans="2:18" s="11" customFormat="1" x14ac:dyDescent="0.25">
      <c r="B101" s="184" t="s">
        <v>71</v>
      </c>
      <c r="C101" s="184"/>
      <c r="D101" s="184"/>
      <c r="F101" s="14"/>
      <c r="G101" s="17">
        <v>100000</v>
      </c>
      <c r="L101" s="13" t="s">
        <v>71</v>
      </c>
      <c r="M101" s="13"/>
      <c r="N101" s="13"/>
      <c r="O101" s="13"/>
      <c r="P101" s="13"/>
      <c r="Q101" s="19">
        <v>100000</v>
      </c>
    </row>
    <row r="102" spans="2:18" s="11" customFormat="1" x14ac:dyDescent="0.25">
      <c r="B102" s="184" t="s">
        <v>72</v>
      </c>
      <c r="C102" s="184"/>
      <c r="D102" s="184"/>
      <c r="F102" s="14"/>
      <c r="G102" s="20">
        <v>1533.77</v>
      </c>
      <c r="L102" s="13" t="s">
        <v>72</v>
      </c>
      <c r="M102" s="13"/>
      <c r="N102" s="13"/>
      <c r="O102" s="13"/>
      <c r="P102" s="13"/>
      <c r="Q102" s="69">
        <v>860.69</v>
      </c>
    </row>
    <row r="103" spans="2:18" s="11" customFormat="1" x14ac:dyDescent="0.25">
      <c r="B103" s="184" t="s">
        <v>73</v>
      </c>
      <c r="C103" s="184"/>
      <c r="D103" s="15"/>
      <c r="F103" s="14"/>
      <c r="G103" s="14">
        <v>2.6</v>
      </c>
      <c r="H103" s="13" t="s">
        <v>74</v>
      </c>
      <c r="L103" s="13" t="s">
        <v>73</v>
      </c>
      <c r="M103" s="13"/>
      <c r="N103" s="13"/>
      <c r="O103" s="13"/>
      <c r="P103" s="13"/>
      <c r="Q103" s="13">
        <v>4.7</v>
      </c>
    </row>
    <row r="104" spans="2:18" s="11" customFormat="1" x14ac:dyDescent="0.25">
      <c r="B104" s="184" t="s">
        <v>70</v>
      </c>
      <c r="C104" s="184"/>
      <c r="D104" s="184"/>
      <c r="F104" s="185" t="s">
        <v>125</v>
      </c>
      <c r="G104" s="185"/>
      <c r="L104" s="13" t="s">
        <v>70</v>
      </c>
      <c r="M104" s="13"/>
      <c r="N104" s="13"/>
      <c r="O104" s="13"/>
      <c r="P104" s="13"/>
      <c r="Q104" s="13" t="s">
        <v>124</v>
      </c>
    </row>
    <row r="105" spans="2:18" s="11" customFormat="1" x14ac:dyDescent="0.25"/>
    <row r="106" spans="2:18" s="11" customFormat="1" x14ac:dyDescent="0.25"/>
    <row r="107" spans="2:18" s="11" customFormat="1" ht="18.75" x14ac:dyDescent="0.3">
      <c r="B107" s="12" t="s">
        <v>69</v>
      </c>
      <c r="C107" s="12"/>
      <c r="D107" s="12" t="s">
        <v>77</v>
      </c>
      <c r="E107" s="13"/>
      <c r="F107" s="13"/>
      <c r="G107" s="13"/>
      <c r="H107" s="13"/>
      <c r="L107" s="12" t="s">
        <v>69</v>
      </c>
      <c r="M107" s="16"/>
      <c r="N107" s="16"/>
      <c r="O107" s="12" t="s">
        <v>78</v>
      </c>
    </row>
    <row r="108" spans="2:18" s="11" customFormat="1" x14ac:dyDescent="0.25">
      <c r="B108" s="13"/>
      <c r="C108" s="13"/>
      <c r="D108" s="13"/>
      <c r="E108" s="13"/>
      <c r="F108" s="13"/>
      <c r="G108" s="13"/>
      <c r="H108" s="13"/>
    </row>
    <row r="109" spans="2:18" s="11" customFormat="1" x14ac:dyDescent="0.25">
      <c r="B109" s="184" t="s">
        <v>66</v>
      </c>
      <c r="C109" s="184"/>
      <c r="D109" s="13"/>
      <c r="E109" s="13"/>
      <c r="F109" s="185">
        <v>400</v>
      </c>
      <c r="G109" s="185"/>
      <c r="H109" s="13"/>
      <c r="L109" s="184" t="s">
        <v>66</v>
      </c>
      <c r="M109" s="184"/>
      <c r="N109" s="13"/>
      <c r="O109" s="13"/>
      <c r="P109" s="185" t="s">
        <v>78</v>
      </c>
      <c r="Q109" s="185"/>
      <c r="R109" s="13"/>
    </row>
    <row r="110" spans="2:18" s="11" customFormat="1" x14ac:dyDescent="0.25">
      <c r="B110" s="13" t="s">
        <v>67</v>
      </c>
      <c r="C110" s="13"/>
      <c r="D110" s="13"/>
      <c r="E110" s="13"/>
      <c r="F110" s="185">
        <v>10</v>
      </c>
      <c r="G110" s="185"/>
      <c r="H110" s="13" t="s">
        <v>154</v>
      </c>
      <c r="L110" s="13" t="s">
        <v>67</v>
      </c>
      <c r="M110" s="13"/>
      <c r="N110" s="13"/>
      <c r="O110" s="13"/>
      <c r="P110" s="185">
        <v>8</v>
      </c>
      <c r="Q110" s="185"/>
      <c r="R110" s="13" t="s">
        <v>154</v>
      </c>
    </row>
    <row r="111" spans="2:18" s="11" customFormat="1" x14ac:dyDescent="0.25">
      <c r="B111" s="13" t="s">
        <v>81</v>
      </c>
      <c r="D111" s="13"/>
      <c r="E111" s="13"/>
      <c r="F111" s="14"/>
      <c r="G111" s="14" t="s">
        <v>82</v>
      </c>
      <c r="L111" s="13" t="s">
        <v>81</v>
      </c>
      <c r="N111" s="13"/>
      <c r="O111" s="13"/>
      <c r="P111" s="14"/>
      <c r="Q111" s="14" t="s">
        <v>83</v>
      </c>
      <c r="R111" s="13"/>
    </row>
    <row r="112" spans="2:18" s="11" customFormat="1" x14ac:dyDescent="0.25">
      <c r="B112" s="184" t="s">
        <v>68</v>
      </c>
      <c r="C112" s="184"/>
      <c r="D112" s="184"/>
      <c r="E112" s="13"/>
      <c r="F112" s="185" t="s">
        <v>87</v>
      </c>
      <c r="G112" s="185"/>
      <c r="H112" s="13"/>
      <c r="L112" s="184" t="s">
        <v>68</v>
      </c>
      <c r="M112" s="184"/>
      <c r="N112" s="184"/>
      <c r="O112" s="13"/>
      <c r="P112" s="185" t="s">
        <v>88</v>
      </c>
      <c r="Q112" s="185"/>
      <c r="R112" s="13"/>
    </row>
    <row r="113" spans="2:21" s="11" customFormat="1" x14ac:dyDescent="0.25">
      <c r="B113" s="184" t="s">
        <v>71</v>
      </c>
      <c r="C113" s="184"/>
      <c r="D113" s="184"/>
      <c r="E113" s="13"/>
      <c r="F113" s="14"/>
      <c r="G113" s="14" t="s">
        <v>89</v>
      </c>
      <c r="H113" s="13"/>
      <c r="L113" s="184" t="s">
        <v>71</v>
      </c>
      <c r="M113" s="184"/>
      <c r="N113" s="184"/>
      <c r="O113" s="13"/>
      <c r="P113" s="14"/>
      <c r="Q113" s="14" t="s">
        <v>90</v>
      </c>
      <c r="R113" s="13"/>
    </row>
    <row r="114" spans="2:21" s="11" customFormat="1" x14ac:dyDescent="0.25">
      <c r="B114" s="184" t="s">
        <v>72</v>
      </c>
      <c r="C114" s="184"/>
      <c r="D114" s="184"/>
      <c r="E114" s="13"/>
      <c r="F114" s="14"/>
      <c r="G114" s="14">
        <v>400</v>
      </c>
      <c r="H114" s="13"/>
      <c r="L114" s="184" t="s">
        <v>72</v>
      </c>
      <c r="M114" s="184"/>
      <c r="N114" s="184"/>
      <c r="O114" s="13"/>
      <c r="P114" s="14"/>
      <c r="Q114" s="14">
        <v>4444</v>
      </c>
      <c r="R114" s="13"/>
    </row>
    <row r="115" spans="2:21" s="11" customFormat="1" x14ac:dyDescent="0.25">
      <c r="B115" s="184" t="s">
        <v>73</v>
      </c>
      <c r="C115" s="184"/>
      <c r="D115" s="15"/>
      <c r="E115" s="13"/>
      <c r="F115" s="14"/>
      <c r="G115" s="14">
        <v>2</v>
      </c>
      <c r="H115" s="13" t="s">
        <v>74</v>
      </c>
      <c r="L115" s="184" t="s">
        <v>73</v>
      </c>
      <c r="M115" s="184"/>
      <c r="N115" s="15"/>
      <c r="O115" s="13"/>
      <c r="P115" s="14"/>
      <c r="Q115" s="14">
        <v>4</v>
      </c>
      <c r="R115" s="13" t="s">
        <v>74</v>
      </c>
    </row>
    <row r="116" spans="2:21" s="11" customFormat="1" x14ac:dyDescent="0.25">
      <c r="B116" s="184" t="s">
        <v>70</v>
      </c>
      <c r="C116" s="184"/>
      <c r="D116" s="184"/>
      <c r="E116" s="13"/>
      <c r="F116" s="185" t="s">
        <v>85</v>
      </c>
      <c r="G116" s="185"/>
      <c r="H116" s="13"/>
      <c r="L116" s="184" t="s">
        <v>70</v>
      </c>
      <c r="M116" s="184"/>
      <c r="N116" s="184"/>
      <c r="O116" s="13"/>
      <c r="P116" s="185" t="s">
        <v>86</v>
      </c>
      <c r="Q116" s="185"/>
      <c r="R116" s="13"/>
    </row>
    <row r="117" spans="2:21" s="11" customFormat="1" x14ac:dyDescent="0.25"/>
    <row r="118" spans="2:21" s="11" customFormat="1" x14ac:dyDescent="0.25"/>
    <row r="119" spans="2:21" s="11" customFormat="1" ht="18.75" x14ac:dyDescent="0.3">
      <c r="Q119" s="12" t="s">
        <v>65</v>
      </c>
      <c r="R119" s="12"/>
      <c r="T119" s="13" t="s">
        <v>130</v>
      </c>
      <c r="U119" s="13"/>
    </row>
    <row r="120" spans="2:21" s="11" customFormat="1" ht="18.75" x14ac:dyDescent="0.3">
      <c r="Q120" s="12" t="s">
        <v>75</v>
      </c>
      <c r="T120" s="13" t="s">
        <v>129</v>
      </c>
      <c r="U120" s="13"/>
    </row>
    <row r="121" spans="2:21" s="11" customFormat="1" ht="18.75" x14ac:dyDescent="0.3">
      <c r="Q121" s="12" t="s">
        <v>77</v>
      </c>
    </row>
    <row r="122" spans="2:21" s="11" customFormat="1" ht="18" customHeight="1" x14ac:dyDescent="0.3">
      <c r="B122" s="186" t="s">
        <v>172</v>
      </c>
      <c r="C122" s="186"/>
      <c r="Q122" s="12" t="s">
        <v>78</v>
      </c>
    </row>
    <row r="123" spans="2:21" ht="0.75" hidden="1" customHeight="1" x14ac:dyDescent="0.25">
      <c r="B123" s="186"/>
      <c r="C123" s="186"/>
    </row>
    <row r="124" spans="2:21" hidden="1" x14ac:dyDescent="0.25">
      <c r="B124" s="186"/>
      <c r="C124" s="186"/>
    </row>
    <row r="125" spans="2:21" x14ac:dyDescent="0.25">
      <c r="B125" s="186"/>
      <c r="C125" s="186"/>
    </row>
    <row r="126" spans="2:21" ht="24.75" x14ac:dyDescent="0.25">
      <c r="B126" s="94" t="s">
        <v>173</v>
      </c>
      <c r="C126" s="9" t="s">
        <v>174</v>
      </c>
      <c r="D126" s="9"/>
      <c r="E126" s="9"/>
      <c r="F126" s="9" t="s">
        <v>175</v>
      </c>
      <c r="G126" s="9"/>
      <c r="H126" s="9"/>
      <c r="I126" s="9" t="s">
        <v>176</v>
      </c>
      <c r="J126" s="9"/>
      <c r="K126" s="9"/>
      <c r="L126" s="9" t="s">
        <v>177</v>
      </c>
      <c r="M126" s="9"/>
      <c r="N126" s="9"/>
    </row>
    <row r="127" spans="2:21" x14ac:dyDescent="0.25">
      <c r="B127" s="5">
        <v>40</v>
      </c>
      <c r="C127" s="2">
        <f>$K$42*(B127*21)</f>
        <v>4049.0369329846144</v>
      </c>
      <c r="F127" s="2">
        <f>(C127+$K$65)*0.05</f>
        <v>1159.2990955593639</v>
      </c>
      <c r="I127" s="2">
        <f>(C127+$K$65+F127)*6%</f>
        <v>1460.7168604047984</v>
      </c>
      <c r="L127" s="31">
        <f>(C127+$K$65+F127+I127)*14.25%</f>
        <v>3677.3546960690801</v>
      </c>
      <c r="M127" s="9"/>
      <c r="N127" s="9"/>
    </row>
    <row r="128" spans="2:21" x14ac:dyDescent="0.25">
      <c r="B128" s="5">
        <v>50</v>
      </c>
      <c r="C128" s="2">
        <f t="shared" ref="C128:C139" si="0">$K$42*(B128*21)</f>
        <v>5061.296166230768</v>
      </c>
      <c r="F128" s="2">
        <f t="shared" ref="F128:F139" si="1">(C128+$K$65)*0.05</f>
        <v>1209.9120572216716</v>
      </c>
      <c r="I128" s="2">
        <f t="shared" ref="I128:I139" si="2">(C128+$K$65+F128)*6%</f>
        <v>1524.4891920993061</v>
      </c>
      <c r="L128" s="31">
        <f t="shared" ref="L128:L139" si="3">(C128+$K$65+F128+I128)*14.25%</f>
        <v>3837.9015411100031</v>
      </c>
      <c r="M128" s="9"/>
      <c r="N128" s="9"/>
    </row>
    <row r="129" spans="2:14" x14ac:dyDescent="0.25">
      <c r="B129" s="5">
        <v>60</v>
      </c>
      <c r="C129" s="2">
        <f t="shared" si="0"/>
        <v>6073.5553994769216</v>
      </c>
      <c r="F129" s="2">
        <f t="shared" si="1"/>
        <v>1260.5250188839793</v>
      </c>
      <c r="I129" s="2">
        <f t="shared" si="2"/>
        <v>1588.2615237938137</v>
      </c>
      <c r="L129" s="31">
        <f t="shared" si="3"/>
        <v>3998.4483861509261</v>
      </c>
      <c r="M129" s="9"/>
      <c r="N129" s="9"/>
    </row>
    <row r="130" spans="2:14" x14ac:dyDescent="0.25">
      <c r="B130" s="5">
        <v>70</v>
      </c>
      <c r="C130" s="2">
        <f t="shared" si="0"/>
        <v>7085.8146327230752</v>
      </c>
      <c r="F130" s="2">
        <f t="shared" si="1"/>
        <v>1311.1379805462871</v>
      </c>
      <c r="I130" s="2">
        <f t="shared" si="2"/>
        <v>1652.0338554883215</v>
      </c>
      <c r="L130" s="31">
        <f t="shared" si="3"/>
        <v>4158.9952311918487</v>
      </c>
      <c r="M130" s="9"/>
      <c r="N130" s="9"/>
    </row>
    <row r="131" spans="2:14" x14ac:dyDescent="0.25">
      <c r="B131" s="5">
        <v>80</v>
      </c>
      <c r="C131" s="2">
        <f t="shared" si="0"/>
        <v>8098.0738659692288</v>
      </c>
      <c r="F131" s="2">
        <f t="shared" si="1"/>
        <v>1361.7509422085948</v>
      </c>
      <c r="I131" s="2">
        <f t="shared" si="2"/>
        <v>1715.806187182829</v>
      </c>
      <c r="L131" s="31">
        <f t="shared" si="3"/>
        <v>4319.5420762327722</v>
      </c>
      <c r="M131" s="9"/>
      <c r="N131" s="9"/>
    </row>
    <row r="132" spans="2:14" x14ac:dyDescent="0.25">
      <c r="B132" s="5">
        <v>90</v>
      </c>
      <c r="C132" s="2">
        <f t="shared" si="0"/>
        <v>9110.3330992153824</v>
      </c>
      <c r="F132" s="2">
        <f t="shared" si="1"/>
        <v>1412.3639038709025</v>
      </c>
      <c r="I132" s="2">
        <f t="shared" si="2"/>
        <v>1779.578518877337</v>
      </c>
      <c r="L132" s="31">
        <f t="shared" si="3"/>
        <v>4480.0889212736956</v>
      </c>
      <c r="M132" s="9"/>
      <c r="N132" s="9"/>
    </row>
    <row r="133" spans="2:14" x14ac:dyDescent="0.25">
      <c r="B133" s="5">
        <v>100</v>
      </c>
      <c r="C133" s="2">
        <f t="shared" si="0"/>
        <v>10122.592332461536</v>
      </c>
      <c r="F133" s="2">
        <f t="shared" si="1"/>
        <v>1462.97686553321</v>
      </c>
      <c r="I133" s="2">
        <f t="shared" si="2"/>
        <v>1843.3508505718444</v>
      </c>
      <c r="L133" s="31">
        <f t="shared" si="3"/>
        <v>4640.6357663146182</v>
      </c>
      <c r="M133" s="9"/>
      <c r="N133" s="9"/>
    </row>
    <row r="134" spans="2:14" x14ac:dyDescent="0.25">
      <c r="B134" s="5">
        <v>110</v>
      </c>
      <c r="C134" s="2">
        <f t="shared" si="0"/>
        <v>11134.85156570769</v>
      </c>
      <c r="F134" s="2">
        <f t="shared" si="1"/>
        <v>1513.5898271955177</v>
      </c>
      <c r="I134" s="2">
        <f t="shared" si="2"/>
        <v>1907.1231822663524</v>
      </c>
      <c r="L134" s="31">
        <f t="shared" si="3"/>
        <v>4801.1826113555417</v>
      </c>
      <c r="M134" s="9"/>
      <c r="N134" s="9"/>
    </row>
    <row r="135" spans="2:14" x14ac:dyDescent="0.25">
      <c r="B135" s="5">
        <v>120</v>
      </c>
      <c r="C135" s="2">
        <f t="shared" si="0"/>
        <v>12147.110798953843</v>
      </c>
      <c r="F135" s="2">
        <f t="shared" si="1"/>
        <v>1564.2027888578255</v>
      </c>
      <c r="I135" s="2">
        <f t="shared" si="2"/>
        <v>1970.8955139608597</v>
      </c>
      <c r="L135" s="31">
        <f t="shared" si="3"/>
        <v>4961.7294563964642</v>
      </c>
      <c r="M135" s="9"/>
      <c r="N135" s="9"/>
    </row>
    <row r="136" spans="2:14" x14ac:dyDescent="0.25">
      <c r="B136" s="5">
        <v>130</v>
      </c>
      <c r="C136" s="2">
        <f t="shared" si="0"/>
        <v>13159.370032199997</v>
      </c>
      <c r="F136" s="2">
        <f t="shared" si="1"/>
        <v>1614.8157505201332</v>
      </c>
      <c r="I136" s="2">
        <f t="shared" si="2"/>
        <v>2034.6678456553677</v>
      </c>
      <c r="L136" s="31">
        <f t="shared" si="3"/>
        <v>5122.2763014373886</v>
      </c>
      <c r="M136" s="9"/>
      <c r="N136" s="9"/>
    </row>
    <row r="137" spans="2:14" x14ac:dyDescent="0.25">
      <c r="B137" s="5">
        <v>140</v>
      </c>
      <c r="C137" s="2">
        <f t="shared" si="0"/>
        <v>14171.62926544615</v>
      </c>
      <c r="F137" s="2">
        <f t="shared" si="1"/>
        <v>1665.4287121824409</v>
      </c>
      <c r="I137" s="2">
        <f t="shared" si="2"/>
        <v>2098.4401773498753</v>
      </c>
      <c r="L137" s="31">
        <f t="shared" si="3"/>
        <v>5282.8231464783103</v>
      </c>
      <c r="M137" s="9"/>
      <c r="N137" s="9"/>
    </row>
    <row r="138" spans="2:14" x14ac:dyDescent="0.25">
      <c r="B138" s="5">
        <v>150</v>
      </c>
      <c r="C138" s="2">
        <f t="shared" si="0"/>
        <v>15183.888498692304</v>
      </c>
      <c r="F138" s="2">
        <f t="shared" si="1"/>
        <v>1716.0416738447486</v>
      </c>
      <c r="I138" s="2">
        <f t="shared" si="2"/>
        <v>2162.2125090443828</v>
      </c>
      <c r="L138" s="31">
        <f t="shared" si="3"/>
        <v>5443.3699915192337</v>
      </c>
      <c r="M138" s="9"/>
      <c r="N138" s="9"/>
    </row>
    <row r="139" spans="2:14" x14ac:dyDescent="0.25">
      <c r="B139" s="5">
        <v>160</v>
      </c>
      <c r="C139" s="2">
        <f t="shared" si="0"/>
        <v>16196.147731938458</v>
      </c>
      <c r="F139" s="2">
        <f t="shared" si="1"/>
        <v>1766.6546355070561</v>
      </c>
      <c r="I139" s="2">
        <f t="shared" si="2"/>
        <v>2225.9848407388904</v>
      </c>
      <c r="L139" s="31">
        <f t="shared" si="3"/>
        <v>5603.9168365601563</v>
      </c>
      <c r="M139" s="9"/>
      <c r="N139" s="9"/>
    </row>
    <row r="140" spans="2:14" x14ac:dyDescent="0.25">
      <c r="B140" s="5"/>
    </row>
    <row r="143" spans="2:14" x14ac:dyDescent="0.25">
      <c r="B143" s="187" t="s">
        <v>178</v>
      </c>
      <c r="C143" s="187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</row>
    <row r="144" spans="2:14" x14ac:dyDescent="0.25">
      <c r="B144" s="187"/>
      <c r="C144" s="187"/>
    </row>
    <row r="145" spans="2:14" x14ac:dyDescent="0.25">
      <c r="B145" s="187"/>
      <c r="C145" s="187"/>
    </row>
    <row r="146" spans="2:14" x14ac:dyDescent="0.25">
      <c r="B146" s="187"/>
      <c r="C146" s="187"/>
    </row>
    <row r="147" spans="2:14" ht="24.75" x14ac:dyDescent="0.25">
      <c r="B147" s="94" t="s">
        <v>173</v>
      </c>
      <c r="C147" s="9" t="s">
        <v>174</v>
      </c>
      <c r="D147" s="9"/>
      <c r="E147" s="9"/>
      <c r="F147" s="9" t="s">
        <v>175</v>
      </c>
      <c r="G147" s="9"/>
      <c r="H147" s="9"/>
      <c r="I147" s="9" t="s">
        <v>176</v>
      </c>
      <c r="J147" s="9"/>
      <c r="K147" s="9"/>
      <c r="L147" s="9" t="s">
        <v>177</v>
      </c>
      <c r="M147" s="9"/>
      <c r="N147" s="9"/>
    </row>
    <row r="148" spans="2:14" x14ac:dyDescent="0.25">
      <c r="B148" s="5">
        <v>40</v>
      </c>
      <c r="C148" s="2">
        <f>($K$42*(B148*21))*1.154</f>
        <v>4672.5886206642444</v>
      </c>
      <c r="F148" s="2">
        <f>(C148+$K$65)*0.05</f>
        <v>1190.4766799433455</v>
      </c>
      <c r="I148" s="2">
        <f>(C148+$K$65+F148)*6%</f>
        <v>1500.0006167286153</v>
      </c>
      <c r="L148" s="31">
        <f>(C148+$K$65+F148+I148)*14.25%</f>
        <v>3776.2515526142888</v>
      </c>
      <c r="M148" s="9"/>
      <c r="N148" s="9"/>
    </row>
    <row r="149" spans="2:14" x14ac:dyDescent="0.25">
      <c r="B149" s="5">
        <v>50</v>
      </c>
      <c r="C149" s="2">
        <f t="shared" ref="C149:C160" si="4">($K$42*(B149*21))*1.154</f>
        <v>5840.735775830306</v>
      </c>
      <c r="F149" s="2">
        <f t="shared" ref="F149:F160" si="5">(C149+$K$65)*0.05</f>
        <v>1248.8840377016486</v>
      </c>
      <c r="I149" s="2">
        <f t="shared" ref="I149:I160" si="6">(C149+$K$65+F149)*6%</f>
        <v>1573.593887504077</v>
      </c>
      <c r="L149" s="31">
        <f t="shared" ref="L149:L160" si="7">(C149+$K$65+F149+I149)*14.25%</f>
        <v>3961.5226117915136</v>
      </c>
      <c r="M149" s="9"/>
      <c r="N149" s="9"/>
    </row>
    <row r="150" spans="2:14" x14ac:dyDescent="0.25">
      <c r="B150" s="5">
        <v>60</v>
      </c>
      <c r="C150" s="2">
        <f t="shared" si="4"/>
        <v>7008.8829309963667</v>
      </c>
      <c r="F150" s="2">
        <f t="shared" si="5"/>
        <v>1307.2913954599517</v>
      </c>
      <c r="I150" s="2">
        <f t="shared" si="6"/>
        <v>1647.1871582795388</v>
      </c>
      <c r="L150" s="31">
        <f t="shared" si="7"/>
        <v>4146.7936709687392</v>
      </c>
      <c r="M150" s="9"/>
      <c r="N150" s="9"/>
    </row>
    <row r="151" spans="2:14" x14ac:dyDescent="0.25">
      <c r="B151" s="5">
        <v>70</v>
      </c>
      <c r="C151" s="2">
        <f t="shared" si="4"/>
        <v>8177.0300861624282</v>
      </c>
      <c r="F151" s="2">
        <f t="shared" si="5"/>
        <v>1365.6987532182548</v>
      </c>
      <c r="I151" s="2">
        <f t="shared" si="6"/>
        <v>1720.7804290550007</v>
      </c>
      <c r="L151" s="31">
        <f t="shared" si="7"/>
        <v>4332.0647301459639</v>
      </c>
      <c r="M151" s="9"/>
      <c r="N151" s="9"/>
    </row>
    <row r="152" spans="2:14" x14ac:dyDescent="0.25">
      <c r="B152" s="5">
        <v>80</v>
      </c>
      <c r="C152" s="2">
        <f t="shared" si="4"/>
        <v>9345.1772413284889</v>
      </c>
      <c r="F152" s="2">
        <f t="shared" si="5"/>
        <v>1424.1061109765578</v>
      </c>
      <c r="I152" s="2">
        <f t="shared" si="6"/>
        <v>1794.3736998304626</v>
      </c>
      <c r="L152" s="31">
        <f t="shared" si="7"/>
        <v>4517.3357893231896</v>
      </c>
      <c r="M152" s="9"/>
      <c r="N152" s="9"/>
    </row>
    <row r="153" spans="2:14" x14ac:dyDescent="0.25">
      <c r="B153" s="5">
        <v>90</v>
      </c>
      <c r="C153" s="2">
        <f t="shared" si="4"/>
        <v>10513.32439649455</v>
      </c>
      <c r="F153" s="2">
        <f t="shared" si="5"/>
        <v>1482.5134687348609</v>
      </c>
      <c r="I153" s="2">
        <f t="shared" si="6"/>
        <v>1867.9669706059244</v>
      </c>
      <c r="L153" s="31">
        <f t="shared" si="7"/>
        <v>4702.6068485004143</v>
      </c>
      <c r="M153" s="9"/>
      <c r="N153" s="9"/>
    </row>
    <row r="154" spans="2:14" x14ac:dyDescent="0.25">
      <c r="B154" s="5">
        <v>100</v>
      </c>
      <c r="C154" s="2">
        <f t="shared" si="4"/>
        <v>11681.471551660612</v>
      </c>
      <c r="F154" s="2">
        <f t="shared" si="5"/>
        <v>1540.920826493164</v>
      </c>
      <c r="I154" s="2">
        <f t="shared" si="6"/>
        <v>1941.5602413813863</v>
      </c>
      <c r="L154" s="31">
        <f t="shared" si="7"/>
        <v>4887.8779076776391</v>
      </c>
      <c r="M154" s="9"/>
      <c r="N154" s="9"/>
    </row>
    <row r="155" spans="2:14" x14ac:dyDescent="0.25">
      <c r="B155" s="5">
        <v>110</v>
      </c>
      <c r="C155" s="2">
        <f t="shared" si="4"/>
        <v>12849.618706826674</v>
      </c>
      <c r="F155" s="2">
        <f t="shared" si="5"/>
        <v>1599.3281842514671</v>
      </c>
      <c r="I155" s="2">
        <f t="shared" si="6"/>
        <v>2015.1535121568484</v>
      </c>
      <c r="L155" s="31">
        <f t="shared" si="7"/>
        <v>5073.1489668548647</v>
      </c>
      <c r="M155" s="9"/>
      <c r="N155" s="9"/>
    </row>
    <row r="156" spans="2:14" x14ac:dyDescent="0.25">
      <c r="B156" s="5">
        <v>120</v>
      </c>
      <c r="C156" s="2">
        <f t="shared" si="4"/>
        <v>14017.765861992733</v>
      </c>
      <c r="F156" s="2">
        <f t="shared" si="5"/>
        <v>1657.7355420097699</v>
      </c>
      <c r="I156" s="2">
        <f t="shared" si="6"/>
        <v>2088.7467829323095</v>
      </c>
      <c r="L156" s="31">
        <f t="shared" si="7"/>
        <v>5258.4200260320886</v>
      </c>
      <c r="M156" s="9"/>
      <c r="N156" s="9"/>
    </row>
    <row r="157" spans="2:14" x14ac:dyDescent="0.25">
      <c r="B157" s="5">
        <v>130</v>
      </c>
      <c r="C157" s="2">
        <f t="shared" si="4"/>
        <v>15185.913017158795</v>
      </c>
      <c r="F157" s="2">
        <f t="shared" si="5"/>
        <v>1716.1428997680732</v>
      </c>
      <c r="I157" s="2">
        <f t="shared" si="6"/>
        <v>2162.3400537077719</v>
      </c>
      <c r="L157" s="31">
        <f t="shared" si="7"/>
        <v>5443.6910852093151</v>
      </c>
      <c r="M157" s="9"/>
      <c r="N157" s="9"/>
    </row>
    <row r="158" spans="2:14" x14ac:dyDescent="0.25">
      <c r="B158" s="5">
        <v>140</v>
      </c>
      <c r="C158" s="2">
        <f t="shared" si="4"/>
        <v>16354.060172324856</v>
      </c>
      <c r="F158" s="2">
        <f t="shared" si="5"/>
        <v>1774.5502575263761</v>
      </c>
      <c r="I158" s="2">
        <f t="shared" si="6"/>
        <v>2235.9333244832337</v>
      </c>
      <c r="L158" s="31">
        <f t="shared" si="7"/>
        <v>5628.9621443865399</v>
      </c>
      <c r="M158" s="9"/>
      <c r="N158" s="9"/>
    </row>
    <row r="159" spans="2:14" x14ac:dyDescent="0.25">
      <c r="B159" s="5">
        <v>150</v>
      </c>
      <c r="C159" s="2">
        <f t="shared" si="4"/>
        <v>17522.207327490916</v>
      </c>
      <c r="F159" s="2">
        <f t="shared" si="5"/>
        <v>1832.9576152846794</v>
      </c>
      <c r="I159" s="2">
        <f t="shared" si="6"/>
        <v>2309.5265952586956</v>
      </c>
      <c r="L159" s="31">
        <f t="shared" si="7"/>
        <v>5814.2332035637655</v>
      </c>
      <c r="M159" s="9"/>
      <c r="N159" s="9"/>
    </row>
    <row r="160" spans="2:14" x14ac:dyDescent="0.25">
      <c r="B160" s="5">
        <v>160</v>
      </c>
      <c r="C160" s="2">
        <f t="shared" si="4"/>
        <v>18690.354482656978</v>
      </c>
      <c r="F160" s="2">
        <f t="shared" si="5"/>
        <v>1891.3649730429822</v>
      </c>
      <c r="I160" s="2">
        <f t="shared" si="6"/>
        <v>2383.1198660341574</v>
      </c>
      <c r="L160" s="31">
        <f t="shared" si="7"/>
        <v>5999.5042627409903</v>
      </c>
      <c r="M160" s="9"/>
      <c r="N160" s="9"/>
    </row>
  </sheetData>
  <mergeCells count="121">
    <mergeCell ref="B116:D116"/>
    <mergeCell ref="F116:G116"/>
    <mergeCell ref="L116:N116"/>
    <mergeCell ref="P116:Q116"/>
    <mergeCell ref="B122:C125"/>
    <mergeCell ref="B143:C146"/>
    <mergeCell ref="B113:D113"/>
    <mergeCell ref="L113:N113"/>
    <mergeCell ref="B114:D114"/>
    <mergeCell ref="L114:N114"/>
    <mergeCell ref="B115:C115"/>
    <mergeCell ref="L115:M115"/>
    <mergeCell ref="L109:M109"/>
    <mergeCell ref="P109:Q109"/>
    <mergeCell ref="F110:G110"/>
    <mergeCell ref="P110:Q110"/>
    <mergeCell ref="B112:D112"/>
    <mergeCell ref="F112:G112"/>
    <mergeCell ref="L112:N112"/>
    <mergeCell ref="P112:Q112"/>
    <mergeCell ref="B101:D101"/>
    <mergeCell ref="B102:D102"/>
    <mergeCell ref="B103:C103"/>
    <mergeCell ref="B104:D104"/>
    <mergeCell ref="F104:G104"/>
    <mergeCell ref="B109:C109"/>
    <mergeCell ref="F109:G109"/>
    <mergeCell ref="D95:E95"/>
    <mergeCell ref="B97:C97"/>
    <mergeCell ref="F97:G97"/>
    <mergeCell ref="F98:G98"/>
    <mergeCell ref="B100:D100"/>
    <mergeCell ref="F100:G100"/>
    <mergeCell ref="A79:J79"/>
    <mergeCell ref="A82:I82"/>
    <mergeCell ref="A84:H84"/>
    <mergeCell ref="A85:J85"/>
    <mergeCell ref="A89:J89"/>
    <mergeCell ref="A90:J90"/>
    <mergeCell ref="A74:E74"/>
    <mergeCell ref="A75:F75"/>
    <mergeCell ref="I75:J75"/>
    <mergeCell ref="I76:J76"/>
    <mergeCell ref="I77:J77"/>
    <mergeCell ref="I78:J78"/>
    <mergeCell ref="A65:J65"/>
    <mergeCell ref="A67:I67"/>
    <mergeCell ref="A69:E69"/>
    <mergeCell ref="I69:J69"/>
    <mergeCell ref="C70:F70"/>
    <mergeCell ref="C71:F71"/>
    <mergeCell ref="C54:F54"/>
    <mergeCell ref="C55:F55"/>
    <mergeCell ref="C58:F58"/>
    <mergeCell ref="C60:G60"/>
    <mergeCell ref="C62:E62"/>
    <mergeCell ref="C63:F63"/>
    <mergeCell ref="A49:E49"/>
    <mergeCell ref="H50:I50"/>
    <mergeCell ref="C51:F51"/>
    <mergeCell ref="H51:I51"/>
    <mergeCell ref="C52:F52"/>
    <mergeCell ref="C53:F53"/>
    <mergeCell ref="B41:D41"/>
    <mergeCell ref="F41:H41"/>
    <mergeCell ref="A42:E42"/>
    <mergeCell ref="A43:J43"/>
    <mergeCell ref="A45:J45"/>
    <mergeCell ref="A47:J47"/>
    <mergeCell ref="A36:E36"/>
    <mergeCell ref="B37:D37"/>
    <mergeCell ref="E37:F37"/>
    <mergeCell ref="B38:D38"/>
    <mergeCell ref="B39:D39"/>
    <mergeCell ref="B40:D40"/>
    <mergeCell ref="A28:D28"/>
    <mergeCell ref="E28:F28"/>
    <mergeCell ref="A31:F31"/>
    <mergeCell ref="A32:D32"/>
    <mergeCell ref="E32:F32"/>
    <mergeCell ref="A33:D33"/>
    <mergeCell ref="A25:D25"/>
    <mergeCell ref="E25:F25"/>
    <mergeCell ref="A26:D26"/>
    <mergeCell ref="E26:F26"/>
    <mergeCell ref="A27:D27"/>
    <mergeCell ref="E27:F27"/>
    <mergeCell ref="K18:N18"/>
    <mergeCell ref="A19:F19"/>
    <mergeCell ref="A20:F20"/>
    <mergeCell ref="A23:F23"/>
    <mergeCell ref="A24:D24"/>
    <mergeCell ref="E24:F24"/>
    <mergeCell ref="A16:D16"/>
    <mergeCell ref="E16:F16"/>
    <mergeCell ref="K16:N17"/>
    <mergeCell ref="H21:N22"/>
    <mergeCell ref="O16:O17"/>
    <mergeCell ref="P16:P17"/>
    <mergeCell ref="T17:V17"/>
    <mergeCell ref="A14:D14"/>
    <mergeCell ref="E14:F14"/>
    <mergeCell ref="K14:N15"/>
    <mergeCell ref="O14:O15"/>
    <mergeCell ref="P14:P15"/>
    <mergeCell ref="E15:F15"/>
    <mergeCell ref="A11:F11"/>
    <mergeCell ref="K11:N11"/>
    <mergeCell ref="A12:C12"/>
    <mergeCell ref="E12:F12"/>
    <mergeCell ref="K12:N12"/>
    <mergeCell ref="A13:D13"/>
    <mergeCell ref="E13:F13"/>
    <mergeCell ref="K13:N13"/>
    <mergeCell ref="C2:F6"/>
    <mergeCell ref="H3:P5"/>
    <mergeCell ref="F7:H7"/>
    <mergeCell ref="K7:N7"/>
    <mergeCell ref="B8:C8"/>
    <mergeCell ref="I9:P9"/>
    <mergeCell ref="A9:F9"/>
  </mergeCells>
  <conditionalFormatting sqref="P19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{17E08283-E641-414F-9A1E-0BEB6963E275}</x14:id>
        </ext>
      </extLst>
    </cfRule>
  </conditionalFormatting>
  <dataValidations disablePrompts="1" count="3">
    <dataValidation type="list" allowBlank="1" showInputMessage="1" showErrorMessage="1" sqref="F7:H7 T17:V17">
      <formula1>$Q$119:$Q$122</formula1>
    </dataValidation>
    <dataValidation type="list" allowBlank="1" showInputMessage="1" showErrorMessage="1" sqref="L51">
      <formula1>"LINEAR, MÉTODO COLE"</formula1>
    </dataValidation>
    <dataValidation type="list" allowBlank="1" showInputMessage="1" showErrorMessage="1" sqref="E15:F15">
      <formula1>"0,1,2,3,4,5,6,7,8,9,10,11,12,13,14,15"</formula1>
    </dataValidation>
  </dataValidations>
  <pageMargins left="0.51181102362204722" right="0.51181102362204722" top="0.78740157480314965" bottom="0.78740157480314965" header="0.31496062992125984" footer="0.31496062992125984"/>
  <pageSetup paperSize="9" scale="50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7E08283-E641-414F-9A1E-0BEB6963E27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P19</xm:sqref>
        </x14:conditionalFormatting>
      </x14:conditionalFormatting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38">
    <tabColor rgb="FF00B0F0"/>
  </sheetPr>
  <dimension ref="A2:V160"/>
  <sheetViews>
    <sheetView tabSelected="1" view="pageBreakPreview" topLeftCell="A49" zoomScale="85" zoomScaleNormal="100" zoomScaleSheetLayoutView="85" workbookViewId="0">
      <selection activeCell="A57" sqref="A57"/>
    </sheetView>
  </sheetViews>
  <sheetFormatPr defaultColWidth="8.85546875" defaultRowHeight="15" x14ac:dyDescent="0.25"/>
  <cols>
    <col min="2" max="2" width="14.140625" customWidth="1"/>
    <col min="3" max="3" width="15.28515625" customWidth="1"/>
    <col min="5" max="5" width="12.42578125" customWidth="1"/>
    <col min="6" max="6" width="13.5703125" customWidth="1"/>
    <col min="7" max="7" width="12.140625" customWidth="1"/>
    <col min="9" max="9" width="10.7109375" customWidth="1"/>
    <col min="10" max="10" width="12.140625" bestFit="1" customWidth="1"/>
    <col min="11" max="11" width="16.42578125" bestFit="1" customWidth="1"/>
    <col min="12" max="12" width="14.42578125" customWidth="1"/>
    <col min="14" max="14" width="6.42578125" customWidth="1"/>
    <col min="15" max="15" width="9" customWidth="1"/>
    <col min="16" max="16" width="10.42578125" customWidth="1"/>
    <col min="17" max="17" width="15.140625" customWidth="1"/>
    <col min="18" max="18" width="14.7109375" bestFit="1" customWidth="1"/>
    <col min="19" max="19" width="19.42578125" bestFit="1" customWidth="1"/>
  </cols>
  <sheetData>
    <row r="2" spans="1:19" x14ac:dyDescent="0.25">
      <c r="C2" s="239" t="s">
        <v>151</v>
      </c>
      <c r="D2" s="240"/>
      <c r="E2" s="240"/>
      <c r="F2" s="240"/>
    </row>
    <row r="3" spans="1:19" x14ac:dyDescent="0.25">
      <c r="C3" s="240"/>
      <c r="D3" s="240"/>
      <c r="E3" s="240"/>
      <c r="F3" s="240"/>
      <c r="H3" s="241" t="s">
        <v>64</v>
      </c>
      <c r="I3" s="239"/>
      <c r="J3" s="239"/>
      <c r="K3" s="239"/>
      <c r="L3" s="239"/>
      <c r="M3" s="239"/>
      <c r="N3" s="239"/>
      <c r="O3" s="239"/>
      <c r="P3" s="239"/>
    </row>
    <row r="4" spans="1:19" x14ac:dyDescent="0.25">
      <c r="C4" s="240"/>
      <c r="D4" s="240"/>
      <c r="E4" s="240"/>
      <c r="F4" s="240"/>
      <c r="H4" s="239"/>
      <c r="I4" s="239"/>
      <c r="J4" s="239"/>
      <c r="K4" s="239"/>
      <c r="L4" s="239"/>
      <c r="M4" s="239"/>
      <c r="N4" s="239"/>
      <c r="O4" s="239"/>
      <c r="P4" s="239"/>
    </row>
    <row r="5" spans="1:19" x14ac:dyDescent="0.25">
      <c r="C5" s="240"/>
      <c r="D5" s="240"/>
      <c r="E5" s="240"/>
      <c r="F5" s="240"/>
      <c r="H5" s="239"/>
      <c r="I5" s="239"/>
      <c r="J5" s="239"/>
      <c r="K5" s="239"/>
      <c r="L5" s="239"/>
      <c r="M5" s="239"/>
      <c r="N5" s="239"/>
      <c r="O5" s="239"/>
      <c r="P5" s="239"/>
    </row>
    <row r="6" spans="1:19" x14ac:dyDescent="0.25">
      <c r="C6" s="240"/>
      <c r="D6" s="240"/>
      <c r="E6" s="240"/>
      <c r="F6" s="240"/>
    </row>
    <row r="7" spans="1:19" ht="21" x14ac:dyDescent="0.35">
      <c r="E7" s="18" t="s">
        <v>80</v>
      </c>
      <c r="F7" s="235" t="s">
        <v>65</v>
      </c>
      <c r="G7" s="235"/>
      <c r="H7" s="235"/>
      <c r="K7" s="242" t="s">
        <v>286</v>
      </c>
      <c r="L7" s="243"/>
      <c r="M7" s="243"/>
      <c r="N7" s="243"/>
    </row>
    <row r="8" spans="1:19" ht="15.75" x14ac:dyDescent="0.25">
      <c r="B8" s="194"/>
      <c r="C8" s="194"/>
      <c r="D8" s="8"/>
      <c r="E8" s="8"/>
      <c r="F8" s="8"/>
      <c r="J8" s="9"/>
    </row>
    <row r="9" spans="1:19" ht="21" x14ac:dyDescent="0.35">
      <c r="A9" s="235" t="s">
        <v>352</v>
      </c>
      <c r="B9" s="235"/>
      <c r="C9" s="235"/>
      <c r="D9" s="235"/>
      <c r="E9" s="235"/>
      <c r="F9" s="235"/>
      <c r="I9" s="244" t="s">
        <v>157</v>
      </c>
      <c r="J9" s="244"/>
      <c r="K9" s="244"/>
      <c r="L9" s="244"/>
      <c r="M9" s="244"/>
      <c r="N9" s="244"/>
      <c r="O9" s="244"/>
      <c r="P9" s="244"/>
      <c r="R9" s="9" t="s">
        <v>155</v>
      </c>
      <c r="S9" s="9" t="s">
        <v>156</v>
      </c>
    </row>
    <row r="10" spans="1:19" x14ac:dyDescent="0.25">
      <c r="R10" s="2">
        <f>K43</f>
        <v>3354.6270989777536</v>
      </c>
      <c r="S10" s="43">
        <f>K45</f>
        <v>3613.0973715948257</v>
      </c>
    </row>
    <row r="11" spans="1:19" ht="17.25" x14ac:dyDescent="0.3">
      <c r="A11" s="236" t="s">
        <v>150</v>
      </c>
      <c r="B11" s="237"/>
      <c r="C11" s="237"/>
      <c r="D11" s="237"/>
      <c r="E11" s="237"/>
      <c r="F11" s="238"/>
      <c r="G11" s="40" t="s">
        <v>0</v>
      </c>
      <c r="K11" s="206" t="s">
        <v>15</v>
      </c>
      <c r="L11" s="206"/>
      <c r="M11" s="206"/>
      <c r="N11" s="206"/>
      <c r="O11" s="161">
        <f>O12+O13</f>
        <v>64.14</v>
      </c>
      <c r="P11" s="47" t="s">
        <v>14</v>
      </c>
      <c r="R11" s="130">
        <f>K65/O18*O14</f>
        <v>9887.7199341695705</v>
      </c>
      <c r="S11" s="130">
        <f>K65/O18*O16</f>
        <v>9249.2250440330918</v>
      </c>
    </row>
    <row r="12" spans="1:19" ht="15.75" x14ac:dyDescent="0.25">
      <c r="A12" s="214" t="s">
        <v>107</v>
      </c>
      <c r="B12" s="215"/>
      <c r="C12" s="215"/>
      <c r="D12" s="48"/>
      <c r="E12" s="218">
        <f>Insumos!$B$4</f>
        <v>531068.38</v>
      </c>
      <c r="F12" s="218"/>
      <c r="G12" s="1"/>
      <c r="K12" s="206" t="s">
        <v>136</v>
      </c>
      <c r="L12" s="206"/>
      <c r="M12" s="206"/>
      <c r="N12" s="206"/>
      <c r="O12" s="150">
        <v>33.14</v>
      </c>
      <c r="P12" s="47" t="s">
        <v>14</v>
      </c>
      <c r="R12" s="2">
        <f>K72/O18*O14</f>
        <v>912.63982160438263</v>
      </c>
      <c r="S12" s="2">
        <f>K72/O18*O16</f>
        <v>853.70653197754552</v>
      </c>
    </row>
    <row r="13" spans="1:19" ht="15.75" x14ac:dyDescent="0.25">
      <c r="A13" s="214" t="s">
        <v>285</v>
      </c>
      <c r="B13" s="215"/>
      <c r="C13" s="215"/>
      <c r="D13" s="216"/>
      <c r="E13" s="198">
        <f>'DEPRECIAÇÃO LINEAR'!D15</f>
        <v>10</v>
      </c>
      <c r="F13" s="198"/>
      <c r="K13" s="206" t="s">
        <v>137</v>
      </c>
      <c r="L13" s="206"/>
      <c r="M13" s="206"/>
      <c r="N13" s="206"/>
      <c r="O13" s="150">
        <v>31</v>
      </c>
      <c r="P13" s="47" t="s">
        <v>14</v>
      </c>
      <c r="R13" s="2">
        <f>K79/O18*O14</f>
        <v>1363.5902956739421</v>
      </c>
      <c r="S13" s="2">
        <f>K79/O18*O16</f>
        <v>1275.5370900993423</v>
      </c>
    </row>
    <row r="14" spans="1:19" ht="15" customHeight="1" x14ac:dyDescent="0.25">
      <c r="A14" s="214" t="s">
        <v>23</v>
      </c>
      <c r="B14" s="215"/>
      <c r="C14" s="215"/>
      <c r="D14" s="216"/>
      <c r="E14" s="219">
        <v>2026</v>
      </c>
      <c r="F14" s="220"/>
      <c r="K14" s="223" t="s">
        <v>138</v>
      </c>
      <c r="L14" s="223"/>
      <c r="M14" s="223"/>
      <c r="N14" s="223"/>
      <c r="O14" s="232">
        <f>O12*21</f>
        <v>695.94</v>
      </c>
      <c r="P14" s="234" t="s">
        <v>14</v>
      </c>
      <c r="R14" s="2">
        <f>SUM(R10:R13)</f>
        <v>15518.57715042565</v>
      </c>
      <c r="S14" s="2">
        <f>SUM(S10:S13)</f>
        <v>14991.566037704804</v>
      </c>
    </row>
    <row r="15" spans="1:19" ht="15.75" customHeight="1" x14ac:dyDescent="0.25">
      <c r="A15" s="49" t="s">
        <v>79</v>
      </c>
      <c r="B15" s="48"/>
      <c r="C15" s="48"/>
      <c r="D15" s="48"/>
      <c r="E15" s="198">
        <v>0</v>
      </c>
      <c r="F15" s="198"/>
      <c r="G15" s="41" t="s">
        <v>128</v>
      </c>
      <c r="I15" s="28"/>
      <c r="J15" s="28"/>
      <c r="K15" s="223"/>
      <c r="L15" s="223"/>
      <c r="M15" s="223"/>
      <c r="N15" s="223"/>
      <c r="O15" s="233"/>
      <c r="P15" s="234"/>
      <c r="R15" s="31">
        <f>IFERROR(R14/O14,0)</f>
        <v>22.298728554797322</v>
      </c>
      <c r="S15" s="31">
        <f>IFERROR(S14/O16,0)</f>
        <v>23.028519259147163</v>
      </c>
    </row>
    <row r="16" spans="1:19" ht="15" customHeight="1" x14ac:dyDescent="0.25">
      <c r="A16" s="214" t="s">
        <v>84</v>
      </c>
      <c r="B16" s="215"/>
      <c r="C16" s="215"/>
      <c r="D16" s="215"/>
      <c r="E16" s="198" t="str">
        <f>IF($F$7=$D$95,F104,IF($F$7=$D$107,F116,IF($F$7=$N$95,Q104,IF($F$7=$O$107,P116,""))))</f>
        <v>ATÉ 59 ALUNOS</v>
      </c>
      <c r="F16" s="198"/>
      <c r="I16" s="28"/>
      <c r="J16" s="28"/>
      <c r="K16" s="223" t="s">
        <v>139</v>
      </c>
      <c r="L16" s="223"/>
      <c r="M16" s="223"/>
      <c r="N16" s="223"/>
      <c r="O16" s="232">
        <f>O13*21</f>
        <v>651</v>
      </c>
      <c r="P16" s="234" t="s">
        <v>14</v>
      </c>
    </row>
    <row r="17" spans="1:22" ht="15" customHeight="1" x14ac:dyDescent="0.35">
      <c r="I17" s="28"/>
      <c r="J17" s="28"/>
      <c r="K17" s="223"/>
      <c r="L17" s="223"/>
      <c r="M17" s="223"/>
      <c r="N17" s="223"/>
      <c r="O17" s="233"/>
      <c r="P17" s="234"/>
      <c r="R17" s="2">
        <f>R14+S14</f>
        <v>30510.143188130452</v>
      </c>
      <c r="T17" s="235"/>
      <c r="U17" s="235"/>
      <c r="V17" s="235"/>
    </row>
    <row r="18" spans="1:22" ht="15" customHeight="1" x14ac:dyDescent="0.25">
      <c r="I18" s="28"/>
      <c r="J18" s="28"/>
      <c r="K18" s="223" t="s">
        <v>140</v>
      </c>
      <c r="L18" s="223"/>
      <c r="M18" s="223"/>
      <c r="N18" s="223"/>
      <c r="O18" s="46">
        <f>O16+O14</f>
        <v>1346.94</v>
      </c>
      <c r="P18" s="47" t="s">
        <v>14</v>
      </c>
      <c r="R18" s="2">
        <f>R17/O18</f>
        <v>22.651449350476227</v>
      </c>
    </row>
    <row r="19" spans="1:22" ht="15.75" customHeight="1" x14ac:dyDescent="0.3">
      <c r="A19" s="224" t="s">
        <v>1</v>
      </c>
      <c r="B19" s="225"/>
      <c r="C19" s="225"/>
      <c r="D19" s="225"/>
      <c r="E19" s="225"/>
      <c r="F19" s="225"/>
      <c r="I19" s="29"/>
      <c r="J19" s="29"/>
      <c r="K19" s="29"/>
      <c r="L19" s="29"/>
      <c r="M19" s="29"/>
    </row>
    <row r="20" spans="1:22" ht="15" customHeight="1" thickBot="1" x14ac:dyDescent="0.3">
      <c r="A20" s="206" t="s">
        <v>106</v>
      </c>
      <c r="B20" s="206"/>
      <c r="C20" s="206"/>
      <c r="D20" s="206"/>
      <c r="E20" s="206"/>
      <c r="F20" s="206"/>
      <c r="I20" s="28"/>
      <c r="J20" s="28"/>
      <c r="K20" s="28"/>
      <c r="L20" s="28"/>
      <c r="M20" s="28"/>
      <c r="O20" s="93">
        <f>K90</f>
        <v>22.651449350476231</v>
      </c>
      <c r="R20" s="93">
        <f>K90</f>
        <v>22.651449350476231</v>
      </c>
    </row>
    <row r="21" spans="1:22" x14ac:dyDescent="0.25">
      <c r="H21" s="226" t="s">
        <v>293</v>
      </c>
      <c r="I21" s="227"/>
      <c r="J21" s="227"/>
      <c r="K21" s="227"/>
      <c r="L21" s="227"/>
      <c r="M21" s="227"/>
      <c r="N21" s="228"/>
      <c r="O21" s="2"/>
    </row>
    <row r="22" spans="1:22" ht="15.75" thickBot="1" x14ac:dyDescent="0.3">
      <c r="H22" s="229"/>
      <c r="I22" s="230"/>
      <c r="J22" s="230"/>
      <c r="K22" s="230"/>
      <c r="L22" s="230"/>
      <c r="M22" s="230"/>
      <c r="N22" s="231"/>
    </row>
    <row r="23" spans="1:22" ht="17.25" x14ac:dyDescent="0.3">
      <c r="A23" s="224" t="s">
        <v>2</v>
      </c>
      <c r="B23" s="225"/>
      <c r="C23" s="225"/>
      <c r="D23" s="225"/>
      <c r="E23" s="225"/>
      <c r="F23" s="225"/>
      <c r="L23" s="2"/>
    </row>
    <row r="24" spans="1:22" ht="15.75" x14ac:dyDescent="0.25">
      <c r="A24" s="214" t="s">
        <v>11</v>
      </c>
      <c r="B24" s="215"/>
      <c r="C24" s="215"/>
      <c r="D24" s="215"/>
      <c r="E24" s="198">
        <f>IF($F$7=$D$95,F100,IF($F$7=$D$107,F112,IF($F$7=$N$95,Q100,IF($F$7=$O$107,P112,""))))</f>
        <v>6</v>
      </c>
      <c r="F24" s="198"/>
    </row>
    <row r="25" spans="1:22" ht="15.75" x14ac:dyDescent="0.25">
      <c r="A25" s="214" t="s">
        <v>9</v>
      </c>
      <c r="B25" s="215"/>
      <c r="C25" s="215"/>
      <c r="D25" s="216"/>
      <c r="E25" s="218">
        <f>Insumos!$B$5</f>
        <v>2453.2399999999998</v>
      </c>
      <c r="F25" s="218"/>
    </row>
    <row r="26" spans="1:22" ht="15.75" x14ac:dyDescent="0.25">
      <c r="A26" s="214" t="s">
        <v>147</v>
      </c>
      <c r="B26" s="215"/>
      <c r="C26" s="215"/>
      <c r="D26" s="216"/>
      <c r="E26" s="219">
        <v>2</v>
      </c>
      <c r="F26" s="220"/>
    </row>
    <row r="27" spans="1:22" ht="15.75" x14ac:dyDescent="0.25">
      <c r="A27" s="214" t="s">
        <v>148</v>
      </c>
      <c r="B27" s="215"/>
      <c r="C27" s="215"/>
      <c r="D27" s="216"/>
      <c r="E27" s="221">
        <f>Insumos!$B$6</f>
        <v>975.83</v>
      </c>
      <c r="F27" s="222"/>
    </row>
    <row r="28" spans="1:22" ht="15.75" x14ac:dyDescent="0.25">
      <c r="A28" s="214" t="s">
        <v>149</v>
      </c>
      <c r="B28" s="215"/>
      <c r="C28" s="215"/>
      <c r="D28" s="216"/>
      <c r="E28" s="217">
        <v>100000</v>
      </c>
      <c r="F28" s="217"/>
    </row>
    <row r="31" spans="1:22" ht="15.75" x14ac:dyDescent="0.25">
      <c r="A31" s="191" t="s">
        <v>3</v>
      </c>
      <c r="B31" s="192"/>
      <c r="C31" s="192"/>
      <c r="D31" s="192"/>
      <c r="E31" s="192"/>
      <c r="F31" s="192"/>
    </row>
    <row r="32" spans="1:22" ht="15.75" x14ac:dyDescent="0.25">
      <c r="A32" s="214" t="s">
        <v>19</v>
      </c>
      <c r="B32" s="215"/>
      <c r="C32" s="215"/>
      <c r="D32" s="216"/>
      <c r="E32" s="218">
        <f>Insumos!$B$7</f>
        <v>7.6</v>
      </c>
      <c r="F32" s="218"/>
    </row>
    <row r="33" spans="1:14" ht="15.75" x14ac:dyDescent="0.25">
      <c r="A33" s="214" t="s">
        <v>17</v>
      </c>
      <c r="B33" s="215"/>
      <c r="C33" s="215"/>
      <c r="D33" s="216"/>
      <c r="E33" s="46">
        <f>IF($F$7=$D$95,G103,IF($F$7=$D$107,G115,IF($F$7=$N$95,Q103,IF($F$7=$O$107,Q115,""))))</f>
        <v>2.6</v>
      </c>
      <c r="F33" s="50" t="s">
        <v>18</v>
      </c>
    </row>
    <row r="36" spans="1:14" ht="17.25" x14ac:dyDescent="0.3">
      <c r="A36" s="208" t="s">
        <v>20</v>
      </c>
      <c r="B36" s="209"/>
      <c r="C36" s="209"/>
      <c r="D36" s="209"/>
      <c r="E36" s="209"/>
    </row>
    <row r="37" spans="1:14" x14ac:dyDescent="0.25">
      <c r="B37" s="210"/>
      <c r="C37" s="210"/>
      <c r="D37" s="211"/>
      <c r="E37" s="212" t="s">
        <v>4</v>
      </c>
      <c r="F37" s="213"/>
    </row>
    <row r="38" spans="1:14" ht="15.75" x14ac:dyDescent="0.25">
      <c r="A38" s="46" t="s">
        <v>346</v>
      </c>
      <c r="B38" s="214" t="s">
        <v>52</v>
      </c>
      <c r="C38" s="215"/>
      <c r="D38" s="216"/>
      <c r="E38" s="46">
        <f>1/E33</f>
        <v>0.38461538461538458</v>
      </c>
      <c r="F38" s="7" t="s">
        <v>5</v>
      </c>
      <c r="G38" s="7"/>
      <c r="H38" s="7"/>
      <c r="I38" s="7"/>
      <c r="J38" s="7"/>
      <c r="K38" s="58">
        <f>E32*E38</f>
        <v>2.9230769230769225</v>
      </c>
      <c r="L38" s="51" t="s">
        <v>13</v>
      </c>
      <c r="N38" s="2"/>
    </row>
    <row r="39" spans="1:14" ht="15.75" x14ac:dyDescent="0.25">
      <c r="A39" s="46" t="s">
        <v>6</v>
      </c>
      <c r="B39" s="206" t="s">
        <v>152</v>
      </c>
      <c r="C39" s="206"/>
      <c r="D39" s="206"/>
      <c r="E39" s="46">
        <v>0.04</v>
      </c>
      <c r="F39" s="7" t="s">
        <v>5</v>
      </c>
      <c r="G39" s="7"/>
      <c r="H39" s="7"/>
      <c r="I39" s="7"/>
      <c r="J39" s="7"/>
      <c r="K39" s="58">
        <f>E39*E32</f>
        <v>0.30399999999999999</v>
      </c>
      <c r="L39" s="51" t="s">
        <v>13</v>
      </c>
    </row>
    <row r="40" spans="1:14" ht="15.75" x14ac:dyDescent="0.25">
      <c r="A40" s="46" t="s">
        <v>7</v>
      </c>
      <c r="B40" s="206" t="s">
        <v>8</v>
      </c>
      <c r="C40" s="206"/>
      <c r="D40" s="206"/>
      <c r="E40" s="46"/>
      <c r="F40" s="7"/>
      <c r="G40" s="7"/>
      <c r="H40" s="7"/>
      <c r="I40" s="7"/>
      <c r="J40" s="7"/>
      <c r="K40" s="58">
        <f>((E25*E24)+(E26*E24*E27))/E28</f>
        <v>0.26429400000000003</v>
      </c>
      <c r="L40" s="51" t="s">
        <v>13</v>
      </c>
    </row>
    <row r="41" spans="1:14" ht="15.75" x14ac:dyDescent="0.25">
      <c r="A41" s="46" t="s">
        <v>12</v>
      </c>
      <c r="B41" s="206" t="s">
        <v>153</v>
      </c>
      <c r="C41" s="206"/>
      <c r="D41" s="206"/>
      <c r="E41" s="70">
        <v>3.0000000000000001E-6</v>
      </c>
      <c r="F41" s="193" t="s">
        <v>10</v>
      </c>
      <c r="G41" s="193"/>
      <c r="H41" s="193"/>
      <c r="I41" s="7"/>
      <c r="J41" s="7"/>
      <c r="K41" s="58">
        <f>(E41*E12)-(K40)</f>
        <v>1.32891114</v>
      </c>
      <c r="L41" s="51" t="s">
        <v>13</v>
      </c>
    </row>
    <row r="42" spans="1:14" ht="15.75" x14ac:dyDescent="0.25">
      <c r="A42" s="207"/>
      <c r="B42" s="207"/>
      <c r="C42" s="207"/>
      <c r="D42" s="207"/>
      <c r="E42" s="207"/>
      <c r="F42" s="7"/>
      <c r="G42" s="7"/>
      <c r="H42" s="7"/>
      <c r="I42" s="7"/>
      <c r="J42" s="7"/>
      <c r="K42" s="58">
        <f>SUM(K38:K41)</f>
        <v>4.8202820630769221</v>
      </c>
      <c r="L42" s="51" t="s">
        <v>13</v>
      </c>
    </row>
    <row r="43" spans="1:14" ht="21" customHeight="1" x14ac:dyDescent="0.25">
      <c r="A43" s="200" t="s">
        <v>144</v>
      </c>
      <c r="B43" s="200"/>
      <c r="C43" s="200"/>
      <c r="D43" s="200"/>
      <c r="E43" s="200"/>
      <c r="F43" s="200"/>
      <c r="G43" s="200"/>
      <c r="H43" s="200"/>
      <c r="I43" s="200"/>
      <c r="J43" s="200"/>
      <c r="K43" s="68">
        <f>K42*O14</f>
        <v>3354.6270989777536</v>
      </c>
      <c r="L43" s="52" t="s">
        <v>16</v>
      </c>
    </row>
    <row r="45" spans="1:14" ht="18.75" x14ac:dyDescent="0.3">
      <c r="A45" s="190" t="s">
        <v>145</v>
      </c>
      <c r="B45" s="190"/>
      <c r="C45" s="190"/>
      <c r="D45" s="190"/>
      <c r="E45" s="190"/>
      <c r="F45" s="190"/>
      <c r="G45" s="190"/>
      <c r="H45" s="190"/>
      <c r="I45" s="190"/>
      <c r="J45" s="190"/>
      <c r="K45" s="65">
        <f>K42*O16*1.1514</f>
        <v>3613.0973715948257</v>
      </c>
      <c r="L45" s="53" t="s">
        <v>16</v>
      </c>
    </row>
    <row r="46" spans="1:14" ht="15.75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</row>
    <row r="47" spans="1:14" ht="18.75" x14ac:dyDescent="0.3">
      <c r="A47" s="190" t="s">
        <v>146</v>
      </c>
      <c r="B47" s="190"/>
      <c r="C47" s="190"/>
      <c r="D47" s="190"/>
      <c r="E47" s="190"/>
      <c r="F47" s="190"/>
      <c r="G47" s="190"/>
      <c r="H47" s="190"/>
      <c r="I47" s="190"/>
      <c r="J47" s="190"/>
      <c r="K47" s="65">
        <f>K43+K45</f>
        <v>6967.7244705725789</v>
      </c>
      <c r="L47" s="54" t="s">
        <v>16</v>
      </c>
    </row>
    <row r="49" spans="1:12" ht="15.75" x14ac:dyDescent="0.25">
      <c r="A49" s="197" t="s">
        <v>21</v>
      </c>
      <c r="B49" s="204"/>
      <c r="C49" s="204"/>
      <c r="D49" s="204"/>
      <c r="E49" s="204"/>
      <c r="F49" s="7"/>
      <c r="G49" s="7"/>
      <c r="H49" s="7"/>
      <c r="I49" s="7"/>
      <c r="J49" s="7"/>
      <c r="K49" s="7"/>
      <c r="L49" s="7"/>
    </row>
    <row r="50" spans="1:12" ht="15.75" x14ac:dyDescent="0.25">
      <c r="A50" s="3"/>
      <c r="B50" s="45"/>
      <c r="C50" s="45"/>
      <c r="D50" s="45"/>
      <c r="E50" s="45"/>
      <c r="F50" s="7"/>
      <c r="G50" s="7"/>
      <c r="H50" s="205" t="s">
        <v>25</v>
      </c>
      <c r="I50" s="205"/>
      <c r="J50" s="7"/>
      <c r="K50" s="7"/>
      <c r="L50" s="7"/>
    </row>
    <row r="51" spans="1:12" ht="15.75" x14ac:dyDescent="0.25">
      <c r="A51" s="7" t="s">
        <v>22</v>
      </c>
      <c r="B51" s="7"/>
      <c r="C51" s="193" t="s">
        <v>24</v>
      </c>
      <c r="D51" s="193"/>
      <c r="E51" s="193"/>
      <c r="F51" s="193"/>
      <c r="G51" s="7"/>
      <c r="H51" s="195"/>
      <c r="I51" s="195"/>
      <c r="J51" s="58"/>
      <c r="K51" s="59">
        <f>IF(L51="LINEAR",'DEPRECIAÇÃO LINEAR'!H23,(VLOOKUP(E15,'DEPRECIAÇÃO LINEAR'!W12:AM25,17,0)))</f>
        <v>3983.0128500000005</v>
      </c>
      <c r="L51" s="55" t="s">
        <v>130</v>
      </c>
    </row>
    <row r="52" spans="1:12" ht="15.75" x14ac:dyDescent="0.25">
      <c r="A52" s="7" t="s">
        <v>26</v>
      </c>
      <c r="B52" s="7"/>
      <c r="C52" s="193" t="s">
        <v>27</v>
      </c>
      <c r="D52" s="193"/>
      <c r="E52" s="193"/>
      <c r="F52" s="193"/>
      <c r="G52" s="7"/>
      <c r="H52" s="7"/>
      <c r="I52" s="7"/>
      <c r="J52" s="58"/>
      <c r="K52" s="58"/>
      <c r="L52" s="7"/>
    </row>
    <row r="53" spans="1:12" ht="15.75" x14ac:dyDescent="0.25">
      <c r="A53" s="7"/>
      <c r="B53" s="7" t="s">
        <v>31</v>
      </c>
      <c r="C53" s="193" t="s">
        <v>28</v>
      </c>
      <c r="D53" s="193"/>
      <c r="E53" s="193"/>
      <c r="F53" s="193"/>
      <c r="G53" s="7"/>
      <c r="H53" s="7"/>
      <c r="I53" s="7"/>
      <c r="J53" s="58"/>
      <c r="K53" s="58">
        <f>'Motorista de Veiculo Pesado'!E90</f>
        <v>8468.4608078400015</v>
      </c>
      <c r="L53" s="7"/>
    </row>
    <row r="54" spans="1:12" ht="15.75" x14ac:dyDescent="0.25">
      <c r="A54" s="7"/>
      <c r="B54" s="7" t="s">
        <v>32</v>
      </c>
      <c r="C54" s="193" t="s">
        <v>29</v>
      </c>
      <c r="D54" s="193"/>
      <c r="E54" s="193"/>
      <c r="F54" s="193"/>
      <c r="G54" s="7"/>
      <c r="H54" s="7"/>
      <c r="I54" s="7"/>
      <c r="J54" s="58"/>
      <c r="K54" s="58">
        <f>'Monitor de Transporte Escolar'!E90</f>
        <v>4485.726463695999</v>
      </c>
      <c r="L54" s="7"/>
    </row>
    <row r="55" spans="1:12" ht="15.75" x14ac:dyDescent="0.25">
      <c r="A55" s="7" t="s">
        <v>30</v>
      </c>
      <c r="B55" s="7"/>
      <c r="C55" s="193" t="s">
        <v>34</v>
      </c>
      <c r="D55" s="193"/>
      <c r="E55" s="193"/>
      <c r="F55" s="193"/>
      <c r="G55" s="7"/>
      <c r="H55" s="7"/>
      <c r="I55" s="7"/>
      <c r="J55" s="58"/>
      <c r="K55" s="58"/>
      <c r="L55" s="56"/>
    </row>
    <row r="56" spans="1:12" ht="15.75" x14ac:dyDescent="0.25">
      <c r="A56" s="7"/>
      <c r="B56" s="7" t="s">
        <v>33</v>
      </c>
      <c r="C56" s="7" t="s">
        <v>35</v>
      </c>
      <c r="D56" s="7"/>
      <c r="E56" s="7"/>
      <c r="F56" s="7"/>
      <c r="G56" s="7"/>
      <c r="H56" s="7"/>
      <c r="I56" s="7"/>
      <c r="J56" s="58">
        <f>1/100*E12</f>
        <v>5310.6837999999998</v>
      </c>
      <c r="K56" s="58">
        <f>J56/12</f>
        <v>442.55698333333333</v>
      </c>
      <c r="L56" s="7"/>
    </row>
    <row r="57" spans="1:12" ht="15.75" x14ac:dyDescent="0.25">
      <c r="A57" s="7"/>
      <c r="B57" s="7" t="s">
        <v>36</v>
      </c>
      <c r="C57" s="7" t="s">
        <v>37</v>
      </c>
      <c r="D57" s="7"/>
      <c r="E57" s="7"/>
      <c r="F57" s="7"/>
      <c r="G57" s="7"/>
      <c r="H57" s="7"/>
      <c r="I57" s="7"/>
      <c r="J57" s="58">
        <v>230.25</v>
      </c>
      <c r="K57" s="58">
        <f>J57/12</f>
        <v>19.1875</v>
      </c>
      <c r="L57" s="7"/>
    </row>
    <row r="58" spans="1:12" ht="15.75" x14ac:dyDescent="0.25">
      <c r="A58" s="7"/>
      <c r="B58" s="7" t="s">
        <v>38</v>
      </c>
      <c r="C58" s="193" t="s">
        <v>39</v>
      </c>
      <c r="D58" s="193"/>
      <c r="E58" s="193"/>
      <c r="F58" s="193"/>
      <c r="G58" s="7"/>
      <c r="H58" s="7"/>
      <c r="I58" s="7"/>
      <c r="J58" s="58">
        <v>161.80000000000001</v>
      </c>
      <c r="K58" s="58">
        <f>J58/12</f>
        <v>13.483333333333334</v>
      </c>
      <c r="L58" s="7"/>
    </row>
    <row r="59" spans="1:12" ht="15.75" x14ac:dyDescent="0.25">
      <c r="A59" s="7" t="s">
        <v>41</v>
      </c>
      <c r="B59" s="7"/>
      <c r="C59" s="7" t="s">
        <v>40</v>
      </c>
      <c r="D59" s="7"/>
      <c r="E59" s="7"/>
      <c r="F59" s="7"/>
      <c r="G59" s="7"/>
      <c r="H59" s="7"/>
      <c r="I59" s="7"/>
      <c r="J59" s="58">
        <v>0</v>
      </c>
      <c r="K59" s="58">
        <f>J59/12</f>
        <v>0</v>
      </c>
      <c r="L59" s="7"/>
    </row>
    <row r="60" spans="1:12" ht="15.75" x14ac:dyDescent="0.25">
      <c r="A60" s="7" t="s">
        <v>57</v>
      </c>
      <c r="B60" s="7"/>
      <c r="C60" s="193" t="s">
        <v>58</v>
      </c>
      <c r="D60" s="193"/>
      <c r="E60" s="193"/>
      <c r="F60" s="193"/>
      <c r="G60" s="193"/>
      <c r="H60" s="7"/>
      <c r="I60" s="7"/>
      <c r="J60" s="58">
        <f>Insumos!$B$8</f>
        <v>350.88</v>
      </c>
      <c r="K60" s="58">
        <f>4*J60</f>
        <v>1403.52</v>
      </c>
      <c r="L60" s="7"/>
    </row>
    <row r="61" spans="1:12" ht="15.75" x14ac:dyDescent="0.25">
      <c r="A61" s="7" t="s">
        <v>60</v>
      </c>
      <c r="B61" s="7"/>
      <c r="C61" s="45" t="s">
        <v>63</v>
      </c>
      <c r="D61" s="45"/>
      <c r="E61" s="45"/>
      <c r="F61" s="45"/>
      <c r="G61" s="45"/>
      <c r="H61" s="7"/>
      <c r="I61" s="7"/>
      <c r="J61" s="58">
        <f>Insumos!$B$9</f>
        <v>2680.95</v>
      </c>
      <c r="K61" s="58">
        <f>J61/12</f>
        <v>223.41249999999999</v>
      </c>
      <c r="L61" s="7"/>
    </row>
    <row r="62" spans="1:12" ht="15.75" x14ac:dyDescent="0.25">
      <c r="A62" s="7" t="s">
        <v>61</v>
      </c>
      <c r="B62" s="7"/>
      <c r="C62" s="193" t="s">
        <v>62</v>
      </c>
      <c r="D62" s="193"/>
      <c r="E62" s="193"/>
      <c r="F62" s="45"/>
      <c r="G62" s="45"/>
      <c r="H62" s="7"/>
      <c r="I62" s="7"/>
      <c r="J62" s="60">
        <f>Insumos!$B$10</f>
        <v>932.23</v>
      </c>
      <c r="K62" s="58">
        <f>J62/12</f>
        <v>77.685833333333335</v>
      </c>
      <c r="L62" s="7"/>
    </row>
    <row r="63" spans="1:12" ht="15.75" x14ac:dyDescent="0.25">
      <c r="A63" s="7" t="s">
        <v>142</v>
      </c>
      <c r="B63" s="7"/>
      <c r="C63" s="203" t="s">
        <v>143</v>
      </c>
      <c r="D63" s="203"/>
      <c r="E63" s="203"/>
      <c r="F63" s="203"/>
      <c r="G63" s="164"/>
      <c r="H63" s="7"/>
      <c r="I63" s="7"/>
      <c r="J63" s="60">
        <f>Insumos!$B$11</f>
        <v>471.82</v>
      </c>
      <c r="K63" s="72">
        <f>J63/24</f>
        <v>19.659166666666668</v>
      </c>
      <c r="L63" s="7"/>
    </row>
    <row r="64" spans="1:12" ht="15.75" x14ac:dyDescent="0.25">
      <c r="A64" s="7" t="s">
        <v>340</v>
      </c>
      <c r="B64" s="7"/>
      <c r="C64" s="165" t="s">
        <v>343</v>
      </c>
      <c r="D64" s="165"/>
      <c r="E64" s="165"/>
      <c r="F64" s="165"/>
      <c r="G64" s="164"/>
      <c r="H64" s="7"/>
      <c r="I64" s="7"/>
      <c r="J64" s="60">
        <f>Insumos!$B$12</f>
        <v>14.372399999999997</v>
      </c>
      <c r="K64" s="72">
        <f>J64/60</f>
        <v>0.23953999999999995</v>
      </c>
      <c r="L64" s="7"/>
    </row>
    <row r="65" spans="1:13" ht="20.25" customHeight="1" x14ac:dyDescent="0.25">
      <c r="A65" s="259" t="s">
        <v>43</v>
      </c>
      <c r="B65" s="260"/>
      <c r="C65" s="260"/>
      <c r="D65" s="260"/>
      <c r="E65" s="260"/>
      <c r="F65" s="260"/>
      <c r="G65" s="260"/>
      <c r="H65" s="260"/>
      <c r="I65" s="260"/>
      <c r="J65" s="261"/>
      <c r="K65" s="67">
        <f>SUM(K51:K64)</f>
        <v>19136.944978202664</v>
      </c>
      <c r="L65" s="57" t="s">
        <v>16</v>
      </c>
      <c r="M65" s="4"/>
    </row>
    <row r="67" spans="1:13" ht="19.5" customHeight="1" x14ac:dyDescent="0.3">
      <c r="A67" s="262" t="s">
        <v>132</v>
      </c>
      <c r="B67" s="263"/>
      <c r="C67" s="263"/>
      <c r="D67" s="263"/>
      <c r="E67" s="263"/>
      <c r="F67" s="263"/>
      <c r="G67" s="263"/>
      <c r="H67" s="263"/>
      <c r="I67" s="264"/>
      <c r="K67" s="66">
        <f>K47+K65</f>
        <v>26104.669448775243</v>
      </c>
    </row>
    <row r="69" spans="1:13" ht="15.75" x14ac:dyDescent="0.25">
      <c r="A69" s="254" t="s">
        <v>133</v>
      </c>
      <c r="B69" s="255"/>
      <c r="C69" s="255"/>
      <c r="D69" s="255"/>
      <c r="E69" s="256"/>
      <c r="I69" s="265" t="s">
        <v>55</v>
      </c>
      <c r="J69" s="266"/>
    </row>
    <row r="70" spans="1:13" ht="15.75" x14ac:dyDescent="0.25">
      <c r="A70" s="7" t="s">
        <v>341</v>
      </c>
      <c r="B70" s="7"/>
      <c r="C70" s="193" t="s">
        <v>54</v>
      </c>
      <c r="D70" s="193"/>
      <c r="E70" s="193"/>
      <c r="F70" s="193"/>
      <c r="G70" s="7"/>
      <c r="H70" s="7"/>
      <c r="I70" s="168">
        <f>Insumos!$B$15</f>
        <v>2.6599999999999999E-2</v>
      </c>
      <c r="J70" s="7"/>
      <c r="K70" s="58">
        <f>I70*K67</f>
        <v>694.38420733742146</v>
      </c>
      <c r="L70" s="7"/>
    </row>
    <row r="71" spans="1:13" ht="15.75" x14ac:dyDescent="0.25">
      <c r="A71" s="7" t="s">
        <v>342</v>
      </c>
      <c r="B71" s="7"/>
      <c r="C71" s="193" t="s">
        <v>59</v>
      </c>
      <c r="D71" s="193"/>
      <c r="E71" s="193"/>
      <c r="F71" s="193"/>
      <c r="G71" s="7"/>
      <c r="H71" s="7"/>
      <c r="I71" s="169">
        <f>Insumos!$B$16</f>
        <v>0.04</v>
      </c>
      <c r="J71" s="7"/>
      <c r="K71" s="58">
        <f>I71*(K67+K70)</f>
        <v>1071.9621462445066</v>
      </c>
      <c r="L71" s="7"/>
    </row>
    <row r="72" spans="1:13" ht="18.75" x14ac:dyDescent="0.3">
      <c r="A72" s="7"/>
      <c r="B72" s="7"/>
      <c r="C72" s="7"/>
      <c r="D72" s="7"/>
      <c r="E72" s="7"/>
      <c r="F72" s="7"/>
      <c r="G72" s="7"/>
      <c r="H72" s="7"/>
      <c r="I72" s="7"/>
      <c r="J72" s="61" t="s">
        <v>131</v>
      </c>
      <c r="K72" s="65">
        <f>SUM(K70:K71)</f>
        <v>1766.346353581928</v>
      </c>
      <c r="L72" s="54" t="s">
        <v>16</v>
      </c>
    </row>
    <row r="74" spans="1:13" ht="15.75" x14ac:dyDescent="0.25">
      <c r="A74" s="254" t="s">
        <v>134</v>
      </c>
      <c r="B74" s="255"/>
      <c r="C74" s="255"/>
      <c r="D74" s="255"/>
      <c r="E74" s="256"/>
      <c r="F74" s="7"/>
      <c r="G74" s="7"/>
      <c r="H74" s="7"/>
      <c r="I74" s="7"/>
      <c r="J74" s="7"/>
      <c r="K74" s="7"/>
      <c r="L74" s="7"/>
    </row>
    <row r="75" spans="1:13" ht="15.75" x14ac:dyDescent="0.25">
      <c r="A75" s="193" t="s">
        <v>42</v>
      </c>
      <c r="B75" s="193"/>
      <c r="C75" s="193"/>
      <c r="D75" s="193"/>
      <c r="E75" s="193"/>
      <c r="F75" s="193"/>
      <c r="G75" s="7"/>
      <c r="H75" s="7"/>
      <c r="I75" s="219" t="s">
        <v>47</v>
      </c>
      <c r="J75" s="220"/>
      <c r="K75" s="51">
        <f>K67+K72</f>
        <v>27871.015802357171</v>
      </c>
      <c r="L75" s="7"/>
    </row>
    <row r="76" spans="1:13" ht="15.75" x14ac:dyDescent="0.25">
      <c r="A76" s="7" t="s">
        <v>53</v>
      </c>
      <c r="C76" s="7" t="s">
        <v>44</v>
      </c>
      <c r="D76" s="7"/>
      <c r="E76" s="7"/>
      <c r="F76" s="7"/>
      <c r="G76" s="7"/>
      <c r="H76" s="7"/>
      <c r="I76" s="257">
        <f>Insumos!$B$18</f>
        <v>0.05</v>
      </c>
      <c r="J76" s="258"/>
      <c r="K76" s="51">
        <f>$K$75/(1-(SUM($I$76:$J$78)))*I76</f>
        <v>1525.507159406523</v>
      </c>
      <c r="L76" s="7"/>
    </row>
    <row r="77" spans="1:13" ht="15.75" x14ac:dyDescent="0.25">
      <c r="A77" s="7" t="s">
        <v>344</v>
      </c>
      <c r="C77" s="7" t="s">
        <v>45</v>
      </c>
      <c r="D77" s="7"/>
      <c r="E77" s="7"/>
      <c r="F77" s="7"/>
      <c r="G77" s="7"/>
      <c r="H77" s="7"/>
      <c r="I77" s="257">
        <f>Insumos!$B$19</f>
        <v>6.4999999999999997E-3</v>
      </c>
      <c r="J77" s="258"/>
      <c r="K77" s="51">
        <f>$K$75/(1-(SUM($I$76:$J$78)))*I77</f>
        <v>198.31593072284795</v>
      </c>
      <c r="L77" s="7"/>
    </row>
    <row r="78" spans="1:13" ht="15.75" x14ac:dyDescent="0.25">
      <c r="A78" s="7" t="s">
        <v>345</v>
      </c>
      <c r="C78" s="7" t="s">
        <v>46</v>
      </c>
      <c r="D78" s="7"/>
      <c r="E78" s="7"/>
      <c r="F78" s="7"/>
      <c r="G78" s="7"/>
      <c r="H78" s="7"/>
      <c r="I78" s="257">
        <f>Insumos!$B$20</f>
        <v>0.03</v>
      </c>
      <c r="J78" s="258"/>
      <c r="K78" s="51">
        <f>$K$75/(1-(SUM($I$76:$J$78)))*I78</f>
        <v>915.30429564391363</v>
      </c>
      <c r="L78" s="7"/>
    </row>
    <row r="79" spans="1:13" ht="21" customHeight="1" x14ac:dyDescent="0.3">
      <c r="A79" s="251" t="s">
        <v>48</v>
      </c>
      <c r="B79" s="252"/>
      <c r="C79" s="252"/>
      <c r="D79" s="252"/>
      <c r="E79" s="252"/>
      <c r="F79" s="252"/>
      <c r="G79" s="252"/>
      <c r="H79" s="252"/>
      <c r="I79" s="252"/>
      <c r="J79" s="253"/>
      <c r="K79" s="64">
        <f>SUM(K76:K78)</f>
        <v>2639.1273857732845</v>
      </c>
      <c r="L79" s="54" t="s">
        <v>16</v>
      </c>
    </row>
    <row r="81" spans="1:20" x14ac:dyDescent="0.25">
      <c r="C81" s="5"/>
      <c r="D81" s="5"/>
      <c r="E81" s="5"/>
      <c r="F81" s="5"/>
      <c r="K81" s="2"/>
    </row>
    <row r="82" spans="1:20" ht="15.75" x14ac:dyDescent="0.25">
      <c r="A82" s="191" t="s">
        <v>56</v>
      </c>
      <c r="B82" s="191"/>
      <c r="C82" s="191"/>
      <c r="D82" s="191"/>
      <c r="E82" s="191"/>
      <c r="F82" s="191"/>
      <c r="G82" s="191"/>
      <c r="H82" s="191"/>
      <c r="I82" s="191"/>
      <c r="T82" s="43"/>
    </row>
    <row r="83" spans="1:20" ht="15.75" x14ac:dyDescent="0.25">
      <c r="A83" s="6"/>
      <c r="B83" s="6"/>
      <c r="C83" s="6"/>
      <c r="D83" s="6"/>
      <c r="E83" s="6"/>
      <c r="F83" s="6"/>
      <c r="G83" s="6"/>
      <c r="H83" s="6"/>
      <c r="I83" s="6"/>
    </row>
    <row r="84" spans="1:20" ht="15.75" x14ac:dyDescent="0.25">
      <c r="A84" s="191" t="s">
        <v>51</v>
      </c>
      <c r="B84" s="192"/>
      <c r="C84" s="192"/>
      <c r="D84" s="192"/>
      <c r="E84" s="192"/>
      <c r="F84" s="192"/>
      <c r="G84" s="192"/>
      <c r="H84" s="192"/>
    </row>
    <row r="85" spans="1:20" ht="20.25" customHeight="1" x14ac:dyDescent="0.3">
      <c r="A85" s="193" t="s">
        <v>135</v>
      </c>
      <c r="B85" s="193"/>
      <c r="C85" s="193"/>
      <c r="D85" s="193"/>
      <c r="E85" s="193"/>
      <c r="F85" s="193"/>
      <c r="G85" s="193"/>
      <c r="H85" s="193"/>
      <c r="I85" s="193"/>
      <c r="J85" s="193"/>
      <c r="K85" s="62">
        <f>K67+K72+K79</f>
        <v>30510.143188130456</v>
      </c>
    </row>
    <row r="86" spans="1:20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2"/>
    </row>
    <row r="87" spans="1:20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2"/>
      <c r="P87" s="42"/>
    </row>
    <row r="88" spans="1:20" ht="8.25" customHeight="1" x14ac:dyDescent="0.25"/>
    <row r="89" spans="1:20" ht="16.5" customHeight="1" x14ac:dyDescent="0.25">
      <c r="A89" s="194" t="s">
        <v>49</v>
      </c>
      <c r="B89" s="195"/>
      <c r="C89" s="195"/>
      <c r="D89" s="195"/>
      <c r="E89" s="195"/>
      <c r="F89" s="195"/>
      <c r="G89" s="195"/>
      <c r="H89" s="195"/>
      <c r="I89" s="195"/>
      <c r="J89" s="195"/>
      <c r="K89" s="7"/>
      <c r="L89" s="7"/>
    </row>
    <row r="90" spans="1:20" ht="24.75" customHeight="1" x14ac:dyDescent="0.3">
      <c r="A90" s="196" t="s">
        <v>141</v>
      </c>
      <c r="B90" s="196"/>
      <c r="C90" s="196"/>
      <c r="D90" s="196"/>
      <c r="E90" s="196"/>
      <c r="F90" s="196"/>
      <c r="G90" s="196"/>
      <c r="H90" s="196"/>
      <c r="I90" s="196"/>
      <c r="J90" s="196"/>
      <c r="K90" s="71">
        <f>K85/O18</f>
        <v>22.651449350476231</v>
      </c>
      <c r="L90" s="63" t="s">
        <v>50</v>
      </c>
    </row>
    <row r="94" spans="1:20" s="10" customFormat="1" x14ac:dyDescent="0.25"/>
    <row r="95" spans="1:20" s="11" customFormat="1" ht="18.75" x14ac:dyDescent="0.3">
      <c r="B95" s="12" t="s">
        <v>69</v>
      </c>
      <c r="D95" s="188" t="s">
        <v>65</v>
      </c>
      <c r="E95" s="188"/>
      <c r="L95" s="12" t="s">
        <v>69</v>
      </c>
      <c r="M95" s="12"/>
      <c r="N95" s="12" t="s">
        <v>75</v>
      </c>
      <c r="O95" s="12"/>
    </row>
    <row r="96" spans="1:20" s="11" customFormat="1" x14ac:dyDescent="0.25"/>
    <row r="97" spans="2:18" s="11" customFormat="1" x14ac:dyDescent="0.25">
      <c r="B97" s="184" t="s">
        <v>66</v>
      </c>
      <c r="C97" s="184"/>
      <c r="D97" s="13"/>
      <c r="E97" s="13"/>
      <c r="F97" s="189">
        <v>288912</v>
      </c>
      <c r="G97" s="189"/>
      <c r="L97" s="13" t="s">
        <v>66</v>
      </c>
      <c r="M97" s="13"/>
      <c r="N97" s="13"/>
      <c r="O97" s="13"/>
      <c r="P97" s="13"/>
      <c r="Q97" s="30">
        <v>271500</v>
      </c>
    </row>
    <row r="98" spans="2:18" s="11" customFormat="1" x14ac:dyDescent="0.25">
      <c r="B98" s="13" t="s">
        <v>67</v>
      </c>
      <c r="D98" s="13"/>
      <c r="E98" s="13"/>
      <c r="F98" s="185">
        <v>10</v>
      </c>
      <c r="G98" s="185"/>
      <c r="H98" s="11" t="s">
        <v>154</v>
      </c>
      <c r="L98" s="13" t="s">
        <v>67</v>
      </c>
      <c r="M98" s="13"/>
      <c r="N98" s="13"/>
      <c r="O98" s="13"/>
      <c r="P98" s="13"/>
      <c r="Q98" s="13">
        <v>10</v>
      </c>
      <c r="R98" s="11" t="s">
        <v>154</v>
      </c>
    </row>
    <row r="99" spans="2:18" s="11" customFormat="1" x14ac:dyDescent="0.25">
      <c r="B99" s="13" t="s">
        <v>81</v>
      </c>
      <c r="D99" s="13"/>
      <c r="E99" s="13"/>
      <c r="F99" s="14"/>
      <c r="G99" s="14">
        <v>2018</v>
      </c>
      <c r="L99" s="13" t="s">
        <v>81</v>
      </c>
      <c r="N99" s="13"/>
      <c r="O99" s="13"/>
      <c r="P99" s="14"/>
      <c r="Q99" s="14">
        <v>2018</v>
      </c>
    </row>
    <row r="100" spans="2:18" s="11" customFormat="1" x14ac:dyDescent="0.25">
      <c r="B100" s="184" t="s">
        <v>68</v>
      </c>
      <c r="C100" s="184"/>
      <c r="D100" s="184"/>
      <c r="F100" s="185">
        <v>6</v>
      </c>
      <c r="G100" s="185"/>
      <c r="L100" s="13" t="s">
        <v>76</v>
      </c>
      <c r="M100" s="13"/>
      <c r="N100" s="13"/>
      <c r="O100" s="13"/>
      <c r="P100" s="13"/>
      <c r="Q100" s="13">
        <v>6</v>
      </c>
    </row>
    <row r="101" spans="2:18" s="11" customFormat="1" x14ac:dyDescent="0.25">
      <c r="B101" s="184" t="s">
        <v>71</v>
      </c>
      <c r="C101" s="184"/>
      <c r="D101" s="184"/>
      <c r="F101" s="14"/>
      <c r="G101" s="17">
        <v>100000</v>
      </c>
      <c r="L101" s="13" t="s">
        <v>71</v>
      </c>
      <c r="M101" s="13"/>
      <c r="N101" s="13"/>
      <c r="O101" s="13"/>
      <c r="P101" s="13"/>
      <c r="Q101" s="19">
        <v>100000</v>
      </c>
    </row>
    <row r="102" spans="2:18" s="11" customFormat="1" x14ac:dyDescent="0.25">
      <c r="B102" s="184" t="s">
        <v>72</v>
      </c>
      <c r="C102" s="184"/>
      <c r="D102" s="184"/>
      <c r="F102" s="14"/>
      <c r="G102" s="20">
        <v>1533.77</v>
      </c>
      <c r="L102" s="13" t="s">
        <v>72</v>
      </c>
      <c r="M102" s="13"/>
      <c r="N102" s="13"/>
      <c r="O102" s="13"/>
      <c r="P102" s="13"/>
      <c r="Q102" s="69">
        <v>860.69</v>
      </c>
    </row>
    <row r="103" spans="2:18" s="11" customFormat="1" x14ac:dyDescent="0.25">
      <c r="B103" s="184" t="s">
        <v>73</v>
      </c>
      <c r="C103" s="184"/>
      <c r="D103" s="15"/>
      <c r="F103" s="14"/>
      <c r="G103" s="14">
        <v>2.6</v>
      </c>
      <c r="H103" s="13" t="s">
        <v>74</v>
      </c>
      <c r="L103" s="13" t="s">
        <v>73</v>
      </c>
      <c r="M103" s="13"/>
      <c r="N103" s="13"/>
      <c r="O103" s="13"/>
      <c r="P103" s="13"/>
      <c r="Q103" s="13">
        <v>4.7</v>
      </c>
    </row>
    <row r="104" spans="2:18" s="11" customFormat="1" x14ac:dyDescent="0.25">
      <c r="B104" s="184" t="s">
        <v>70</v>
      </c>
      <c r="C104" s="184"/>
      <c r="D104" s="184"/>
      <c r="F104" s="185" t="s">
        <v>125</v>
      </c>
      <c r="G104" s="185"/>
      <c r="L104" s="13" t="s">
        <v>70</v>
      </c>
      <c r="M104" s="13"/>
      <c r="N104" s="13"/>
      <c r="O104" s="13"/>
      <c r="P104" s="13"/>
      <c r="Q104" s="13" t="s">
        <v>124</v>
      </c>
    </row>
    <row r="105" spans="2:18" s="11" customFormat="1" x14ac:dyDescent="0.25"/>
    <row r="106" spans="2:18" s="11" customFormat="1" x14ac:dyDescent="0.25"/>
    <row r="107" spans="2:18" s="11" customFormat="1" ht="18.75" x14ac:dyDescent="0.3">
      <c r="B107" s="12" t="s">
        <v>69</v>
      </c>
      <c r="C107" s="12"/>
      <c r="D107" s="12" t="s">
        <v>77</v>
      </c>
      <c r="E107" s="13"/>
      <c r="F107" s="13"/>
      <c r="G107" s="13"/>
      <c r="H107" s="13"/>
      <c r="L107" s="12" t="s">
        <v>69</v>
      </c>
      <c r="M107" s="16"/>
      <c r="N107" s="16"/>
      <c r="O107" s="12" t="s">
        <v>78</v>
      </c>
    </row>
    <row r="108" spans="2:18" s="11" customFormat="1" x14ac:dyDescent="0.25">
      <c r="B108" s="13"/>
      <c r="C108" s="13"/>
      <c r="D108" s="13"/>
      <c r="E108" s="13"/>
      <c r="F108" s="13"/>
      <c r="G108" s="13"/>
      <c r="H108" s="13"/>
    </row>
    <row r="109" spans="2:18" s="11" customFormat="1" x14ac:dyDescent="0.25">
      <c r="B109" s="184" t="s">
        <v>66</v>
      </c>
      <c r="C109" s="184"/>
      <c r="D109" s="13"/>
      <c r="E109" s="13"/>
      <c r="F109" s="185">
        <v>400</v>
      </c>
      <c r="G109" s="185"/>
      <c r="H109" s="13"/>
      <c r="L109" s="184" t="s">
        <v>66</v>
      </c>
      <c r="M109" s="184"/>
      <c r="N109" s="13"/>
      <c r="O109" s="13"/>
      <c r="P109" s="185" t="s">
        <v>78</v>
      </c>
      <c r="Q109" s="185"/>
      <c r="R109" s="13"/>
    </row>
    <row r="110" spans="2:18" s="11" customFormat="1" x14ac:dyDescent="0.25">
      <c r="B110" s="13" t="s">
        <v>67</v>
      </c>
      <c r="C110" s="13"/>
      <c r="D110" s="13"/>
      <c r="E110" s="13"/>
      <c r="F110" s="185">
        <v>10</v>
      </c>
      <c r="G110" s="185"/>
      <c r="H110" s="13" t="s">
        <v>154</v>
      </c>
      <c r="L110" s="13" t="s">
        <v>67</v>
      </c>
      <c r="M110" s="13"/>
      <c r="N110" s="13"/>
      <c r="O110" s="13"/>
      <c r="P110" s="185">
        <v>8</v>
      </c>
      <c r="Q110" s="185"/>
      <c r="R110" s="13" t="s">
        <v>154</v>
      </c>
    </row>
    <row r="111" spans="2:18" s="11" customFormat="1" x14ac:dyDescent="0.25">
      <c r="B111" s="13" t="s">
        <v>81</v>
      </c>
      <c r="D111" s="13"/>
      <c r="E111" s="13"/>
      <c r="F111" s="14"/>
      <c r="G111" s="14" t="s">
        <v>82</v>
      </c>
      <c r="L111" s="13" t="s">
        <v>81</v>
      </c>
      <c r="N111" s="13"/>
      <c r="O111" s="13"/>
      <c r="P111" s="14"/>
      <c r="Q111" s="14" t="s">
        <v>83</v>
      </c>
      <c r="R111" s="13"/>
    </row>
    <row r="112" spans="2:18" s="11" customFormat="1" x14ac:dyDescent="0.25">
      <c r="B112" s="184" t="s">
        <v>68</v>
      </c>
      <c r="C112" s="184"/>
      <c r="D112" s="184"/>
      <c r="E112" s="13"/>
      <c r="F112" s="185" t="s">
        <v>87</v>
      </c>
      <c r="G112" s="185"/>
      <c r="H112" s="13"/>
      <c r="L112" s="184" t="s">
        <v>68</v>
      </c>
      <c r="M112" s="184"/>
      <c r="N112" s="184"/>
      <c r="O112" s="13"/>
      <c r="P112" s="185" t="s">
        <v>88</v>
      </c>
      <c r="Q112" s="185"/>
      <c r="R112" s="13"/>
    </row>
    <row r="113" spans="2:21" s="11" customFormat="1" x14ac:dyDescent="0.25">
      <c r="B113" s="184" t="s">
        <v>71</v>
      </c>
      <c r="C113" s="184"/>
      <c r="D113" s="184"/>
      <c r="E113" s="13"/>
      <c r="F113" s="14"/>
      <c r="G113" s="14" t="s">
        <v>89</v>
      </c>
      <c r="H113" s="13"/>
      <c r="L113" s="184" t="s">
        <v>71</v>
      </c>
      <c r="M113" s="184"/>
      <c r="N113" s="184"/>
      <c r="O113" s="13"/>
      <c r="P113" s="14"/>
      <c r="Q113" s="14" t="s">
        <v>90</v>
      </c>
      <c r="R113" s="13"/>
    </row>
    <row r="114" spans="2:21" s="11" customFormat="1" x14ac:dyDescent="0.25">
      <c r="B114" s="184" t="s">
        <v>72</v>
      </c>
      <c r="C114" s="184"/>
      <c r="D114" s="184"/>
      <c r="E114" s="13"/>
      <c r="F114" s="14"/>
      <c r="G114" s="14">
        <v>400</v>
      </c>
      <c r="H114" s="13"/>
      <c r="L114" s="184" t="s">
        <v>72</v>
      </c>
      <c r="M114" s="184"/>
      <c r="N114" s="184"/>
      <c r="O114" s="13"/>
      <c r="P114" s="14"/>
      <c r="Q114" s="14">
        <v>4444</v>
      </c>
      <c r="R114" s="13"/>
    </row>
    <row r="115" spans="2:21" s="11" customFormat="1" x14ac:dyDescent="0.25">
      <c r="B115" s="184" t="s">
        <v>73</v>
      </c>
      <c r="C115" s="184"/>
      <c r="D115" s="15"/>
      <c r="E115" s="13"/>
      <c r="F115" s="14"/>
      <c r="G115" s="14">
        <v>2</v>
      </c>
      <c r="H115" s="13" t="s">
        <v>74</v>
      </c>
      <c r="L115" s="184" t="s">
        <v>73</v>
      </c>
      <c r="M115" s="184"/>
      <c r="N115" s="15"/>
      <c r="O115" s="13"/>
      <c r="P115" s="14"/>
      <c r="Q115" s="14">
        <v>4</v>
      </c>
      <c r="R115" s="13" t="s">
        <v>74</v>
      </c>
    </row>
    <row r="116" spans="2:21" s="11" customFormat="1" x14ac:dyDescent="0.25">
      <c r="B116" s="184" t="s">
        <v>70</v>
      </c>
      <c r="C116" s="184"/>
      <c r="D116" s="184"/>
      <c r="E116" s="13"/>
      <c r="F116" s="185" t="s">
        <v>85</v>
      </c>
      <c r="G116" s="185"/>
      <c r="H116" s="13"/>
      <c r="L116" s="184" t="s">
        <v>70</v>
      </c>
      <c r="M116" s="184"/>
      <c r="N116" s="184"/>
      <c r="O116" s="13"/>
      <c r="P116" s="185" t="s">
        <v>86</v>
      </c>
      <c r="Q116" s="185"/>
      <c r="R116" s="13"/>
    </row>
    <row r="117" spans="2:21" s="11" customFormat="1" x14ac:dyDescent="0.25"/>
    <row r="118" spans="2:21" s="11" customFormat="1" x14ac:dyDescent="0.25"/>
    <row r="119" spans="2:21" s="11" customFormat="1" ht="18.75" x14ac:dyDescent="0.3">
      <c r="Q119" s="12" t="s">
        <v>65</v>
      </c>
      <c r="R119" s="12"/>
      <c r="T119" s="13" t="s">
        <v>130</v>
      </c>
      <c r="U119" s="13"/>
    </row>
    <row r="120" spans="2:21" s="11" customFormat="1" ht="18.75" x14ac:dyDescent="0.3">
      <c r="Q120" s="12" t="s">
        <v>75</v>
      </c>
      <c r="T120" s="13" t="s">
        <v>129</v>
      </c>
      <c r="U120" s="13"/>
    </row>
    <row r="121" spans="2:21" s="11" customFormat="1" ht="18.75" x14ac:dyDescent="0.3">
      <c r="Q121" s="12" t="s">
        <v>77</v>
      </c>
    </row>
    <row r="122" spans="2:21" s="11" customFormat="1" ht="18" customHeight="1" x14ac:dyDescent="0.3">
      <c r="B122" s="186" t="s">
        <v>172</v>
      </c>
      <c r="C122" s="186"/>
      <c r="Q122" s="12" t="s">
        <v>78</v>
      </c>
    </row>
    <row r="123" spans="2:21" ht="0.75" hidden="1" customHeight="1" x14ac:dyDescent="0.25">
      <c r="B123" s="186"/>
      <c r="C123" s="186"/>
    </row>
    <row r="124" spans="2:21" hidden="1" x14ac:dyDescent="0.25">
      <c r="B124" s="186"/>
      <c r="C124" s="186"/>
    </row>
    <row r="125" spans="2:21" x14ac:dyDescent="0.25">
      <c r="B125" s="186"/>
      <c r="C125" s="186"/>
    </row>
    <row r="126" spans="2:21" ht="24.75" x14ac:dyDescent="0.25">
      <c r="B126" s="94" t="s">
        <v>173</v>
      </c>
      <c r="C126" s="9" t="s">
        <v>174</v>
      </c>
      <c r="D126" s="9"/>
      <c r="E126" s="9"/>
      <c r="F126" s="9" t="s">
        <v>175</v>
      </c>
      <c r="G126" s="9"/>
      <c r="H126" s="9"/>
      <c r="I126" s="9" t="s">
        <v>176</v>
      </c>
      <c r="J126" s="9"/>
      <c r="K126" s="9"/>
      <c r="L126" s="9" t="s">
        <v>177</v>
      </c>
      <c r="M126" s="9"/>
      <c r="N126" s="9"/>
    </row>
    <row r="127" spans="2:21" x14ac:dyDescent="0.25">
      <c r="B127" s="5">
        <v>40</v>
      </c>
      <c r="C127" s="2">
        <f>$K$42*(B127*21)</f>
        <v>4049.0369329846144</v>
      </c>
      <c r="F127" s="2">
        <f>(C127+$K$65)*0.05</f>
        <v>1159.2990955593639</v>
      </c>
      <c r="I127" s="2">
        <f>(C127+$K$65+F127)*6%</f>
        <v>1460.7168604047984</v>
      </c>
      <c r="L127" s="31">
        <f>(C127+$K$65+F127+I127)*14.25%</f>
        <v>3677.3546960690801</v>
      </c>
      <c r="M127" s="9"/>
      <c r="N127" s="9"/>
    </row>
    <row r="128" spans="2:21" x14ac:dyDescent="0.25">
      <c r="B128" s="5">
        <v>50</v>
      </c>
      <c r="C128" s="2">
        <f t="shared" ref="C128:C139" si="0">$K$42*(B128*21)</f>
        <v>5061.296166230768</v>
      </c>
      <c r="F128" s="2">
        <f t="shared" ref="F128:F139" si="1">(C128+$K$65)*0.05</f>
        <v>1209.9120572216716</v>
      </c>
      <c r="I128" s="2">
        <f t="shared" ref="I128:I139" si="2">(C128+$K$65+F128)*6%</f>
        <v>1524.4891920993061</v>
      </c>
      <c r="L128" s="31">
        <f t="shared" ref="L128:L139" si="3">(C128+$K$65+F128+I128)*14.25%</f>
        <v>3837.9015411100031</v>
      </c>
      <c r="M128" s="9"/>
      <c r="N128" s="9"/>
    </row>
    <row r="129" spans="2:14" x14ac:dyDescent="0.25">
      <c r="B129" s="5">
        <v>60</v>
      </c>
      <c r="C129" s="2">
        <f t="shared" si="0"/>
        <v>6073.5553994769216</v>
      </c>
      <c r="F129" s="2">
        <f t="shared" si="1"/>
        <v>1260.5250188839793</v>
      </c>
      <c r="I129" s="2">
        <f t="shared" si="2"/>
        <v>1588.2615237938137</v>
      </c>
      <c r="L129" s="31">
        <f t="shared" si="3"/>
        <v>3998.4483861509261</v>
      </c>
      <c r="M129" s="9"/>
      <c r="N129" s="9"/>
    </row>
    <row r="130" spans="2:14" x14ac:dyDescent="0.25">
      <c r="B130" s="5">
        <v>70</v>
      </c>
      <c r="C130" s="2">
        <f t="shared" si="0"/>
        <v>7085.8146327230752</v>
      </c>
      <c r="F130" s="2">
        <f t="shared" si="1"/>
        <v>1311.1379805462871</v>
      </c>
      <c r="I130" s="2">
        <f t="shared" si="2"/>
        <v>1652.0338554883215</v>
      </c>
      <c r="L130" s="31">
        <f t="shared" si="3"/>
        <v>4158.9952311918487</v>
      </c>
      <c r="M130" s="9"/>
      <c r="N130" s="9"/>
    </row>
    <row r="131" spans="2:14" x14ac:dyDescent="0.25">
      <c r="B131" s="5">
        <v>80</v>
      </c>
      <c r="C131" s="2">
        <f t="shared" si="0"/>
        <v>8098.0738659692288</v>
      </c>
      <c r="F131" s="2">
        <f t="shared" si="1"/>
        <v>1361.7509422085948</v>
      </c>
      <c r="I131" s="2">
        <f t="shared" si="2"/>
        <v>1715.806187182829</v>
      </c>
      <c r="L131" s="31">
        <f t="shared" si="3"/>
        <v>4319.5420762327722</v>
      </c>
      <c r="M131" s="9"/>
      <c r="N131" s="9"/>
    </row>
    <row r="132" spans="2:14" x14ac:dyDescent="0.25">
      <c r="B132" s="5">
        <v>90</v>
      </c>
      <c r="C132" s="2">
        <f t="shared" si="0"/>
        <v>9110.3330992153824</v>
      </c>
      <c r="F132" s="2">
        <f t="shared" si="1"/>
        <v>1412.3639038709025</v>
      </c>
      <c r="I132" s="2">
        <f t="shared" si="2"/>
        <v>1779.578518877337</v>
      </c>
      <c r="L132" s="31">
        <f t="shared" si="3"/>
        <v>4480.0889212736956</v>
      </c>
      <c r="M132" s="9"/>
      <c r="N132" s="9"/>
    </row>
    <row r="133" spans="2:14" x14ac:dyDescent="0.25">
      <c r="B133" s="5">
        <v>100</v>
      </c>
      <c r="C133" s="2">
        <f t="shared" si="0"/>
        <v>10122.592332461536</v>
      </c>
      <c r="F133" s="2">
        <f t="shared" si="1"/>
        <v>1462.97686553321</v>
      </c>
      <c r="I133" s="2">
        <f t="shared" si="2"/>
        <v>1843.3508505718444</v>
      </c>
      <c r="L133" s="31">
        <f t="shared" si="3"/>
        <v>4640.6357663146182</v>
      </c>
      <c r="M133" s="9"/>
      <c r="N133" s="9"/>
    </row>
    <row r="134" spans="2:14" x14ac:dyDescent="0.25">
      <c r="B134" s="5">
        <v>110</v>
      </c>
      <c r="C134" s="2">
        <f t="shared" si="0"/>
        <v>11134.85156570769</v>
      </c>
      <c r="F134" s="2">
        <f t="shared" si="1"/>
        <v>1513.5898271955177</v>
      </c>
      <c r="I134" s="2">
        <f t="shared" si="2"/>
        <v>1907.1231822663524</v>
      </c>
      <c r="L134" s="31">
        <f t="shared" si="3"/>
        <v>4801.1826113555417</v>
      </c>
      <c r="M134" s="9"/>
      <c r="N134" s="9"/>
    </row>
    <row r="135" spans="2:14" x14ac:dyDescent="0.25">
      <c r="B135" s="5">
        <v>120</v>
      </c>
      <c r="C135" s="2">
        <f t="shared" si="0"/>
        <v>12147.110798953843</v>
      </c>
      <c r="F135" s="2">
        <f t="shared" si="1"/>
        <v>1564.2027888578255</v>
      </c>
      <c r="I135" s="2">
        <f t="shared" si="2"/>
        <v>1970.8955139608597</v>
      </c>
      <c r="L135" s="31">
        <f t="shared" si="3"/>
        <v>4961.7294563964642</v>
      </c>
      <c r="M135" s="9"/>
      <c r="N135" s="9"/>
    </row>
    <row r="136" spans="2:14" x14ac:dyDescent="0.25">
      <c r="B136" s="5">
        <v>130</v>
      </c>
      <c r="C136" s="2">
        <f t="shared" si="0"/>
        <v>13159.370032199997</v>
      </c>
      <c r="F136" s="2">
        <f t="shared" si="1"/>
        <v>1614.8157505201332</v>
      </c>
      <c r="I136" s="2">
        <f t="shared" si="2"/>
        <v>2034.6678456553677</v>
      </c>
      <c r="L136" s="31">
        <f t="shared" si="3"/>
        <v>5122.2763014373886</v>
      </c>
      <c r="M136" s="9"/>
      <c r="N136" s="9"/>
    </row>
    <row r="137" spans="2:14" x14ac:dyDescent="0.25">
      <c r="B137" s="5">
        <v>140</v>
      </c>
      <c r="C137" s="2">
        <f t="shared" si="0"/>
        <v>14171.62926544615</v>
      </c>
      <c r="F137" s="2">
        <f t="shared" si="1"/>
        <v>1665.4287121824409</v>
      </c>
      <c r="I137" s="2">
        <f t="shared" si="2"/>
        <v>2098.4401773498753</v>
      </c>
      <c r="L137" s="31">
        <f t="shared" si="3"/>
        <v>5282.8231464783103</v>
      </c>
      <c r="M137" s="9"/>
      <c r="N137" s="9"/>
    </row>
    <row r="138" spans="2:14" x14ac:dyDescent="0.25">
      <c r="B138" s="5">
        <v>150</v>
      </c>
      <c r="C138" s="2">
        <f t="shared" si="0"/>
        <v>15183.888498692304</v>
      </c>
      <c r="F138" s="2">
        <f t="shared" si="1"/>
        <v>1716.0416738447486</v>
      </c>
      <c r="I138" s="2">
        <f t="shared" si="2"/>
        <v>2162.2125090443828</v>
      </c>
      <c r="L138" s="31">
        <f t="shared" si="3"/>
        <v>5443.3699915192337</v>
      </c>
      <c r="M138" s="9"/>
      <c r="N138" s="9"/>
    </row>
    <row r="139" spans="2:14" x14ac:dyDescent="0.25">
      <c r="B139" s="5">
        <v>160</v>
      </c>
      <c r="C139" s="2">
        <f t="shared" si="0"/>
        <v>16196.147731938458</v>
      </c>
      <c r="F139" s="2">
        <f t="shared" si="1"/>
        <v>1766.6546355070561</v>
      </c>
      <c r="I139" s="2">
        <f t="shared" si="2"/>
        <v>2225.9848407388904</v>
      </c>
      <c r="L139" s="31">
        <f t="shared" si="3"/>
        <v>5603.9168365601563</v>
      </c>
      <c r="M139" s="9"/>
      <c r="N139" s="9"/>
    </row>
    <row r="140" spans="2:14" x14ac:dyDescent="0.25">
      <c r="B140" s="5"/>
    </row>
    <row r="143" spans="2:14" x14ac:dyDescent="0.25">
      <c r="B143" s="187" t="s">
        <v>178</v>
      </c>
      <c r="C143" s="187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</row>
    <row r="144" spans="2:14" x14ac:dyDescent="0.25">
      <c r="B144" s="187"/>
      <c r="C144" s="187"/>
    </row>
    <row r="145" spans="2:14" x14ac:dyDescent="0.25">
      <c r="B145" s="187"/>
      <c r="C145" s="187"/>
    </row>
    <row r="146" spans="2:14" x14ac:dyDescent="0.25">
      <c r="B146" s="187"/>
      <c r="C146" s="187"/>
    </row>
    <row r="147" spans="2:14" ht="24.75" x14ac:dyDescent="0.25">
      <c r="B147" s="94" t="s">
        <v>173</v>
      </c>
      <c r="C147" s="9" t="s">
        <v>174</v>
      </c>
      <c r="D147" s="9"/>
      <c r="E147" s="9"/>
      <c r="F147" s="9" t="s">
        <v>175</v>
      </c>
      <c r="G147" s="9"/>
      <c r="H147" s="9"/>
      <c r="I147" s="9" t="s">
        <v>176</v>
      </c>
      <c r="J147" s="9"/>
      <c r="K147" s="9"/>
      <c r="L147" s="9" t="s">
        <v>177</v>
      </c>
      <c r="M147" s="9"/>
      <c r="N147" s="9"/>
    </row>
    <row r="148" spans="2:14" x14ac:dyDescent="0.25">
      <c r="B148" s="5">
        <v>40</v>
      </c>
      <c r="C148" s="2">
        <f>($K$42*(B148*21))*1.154</f>
        <v>4672.5886206642444</v>
      </c>
      <c r="F148" s="2">
        <f>(C148+$K$65)*0.05</f>
        <v>1190.4766799433455</v>
      </c>
      <c r="I148" s="2">
        <f>(C148+$K$65+F148)*6%</f>
        <v>1500.0006167286153</v>
      </c>
      <c r="L148" s="31">
        <f>(C148+$K$65+F148+I148)*14.25%</f>
        <v>3776.2515526142888</v>
      </c>
      <c r="M148" s="9"/>
      <c r="N148" s="9"/>
    </row>
    <row r="149" spans="2:14" x14ac:dyDescent="0.25">
      <c r="B149" s="5">
        <v>50</v>
      </c>
      <c r="C149" s="2">
        <f t="shared" ref="C149:C160" si="4">($K$42*(B149*21))*1.154</f>
        <v>5840.735775830306</v>
      </c>
      <c r="F149" s="2">
        <f t="shared" ref="F149:F160" si="5">(C149+$K$65)*0.05</f>
        <v>1248.8840377016486</v>
      </c>
      <c r="I149" s="2">
        <f t="shared" ref="I149:I160" si="6">(C149+$K$65+F149)*6%</f>
        <v>1573.593887504077</v>
      </c>
      <c r="L149" s="31">
        <f t="shared" ref="L149:L160" si="7">(C149+$K$65+F149+I149)*14.25%</f>
        <v>3961.5226117915136</v>
      </c>
      <c r="M149" s="9"/>
      <c r="N149" s="9"/>
    </row>
    <row r="150" spans="2:14" x14ac:dyDescent="0.25">
      <c r="B150" s="5">
        <v>60</v>
      </c>
      <c r="C150" s="2">
        <f t="shared" si="4"/>
        <v>7008.8829309963667</v>
      </c>
      <c r="F150" s="2">
        <f t="shared" si="5"/>
        <v>1307.2913954599517</v>
      </c>
      <c r="I150" s="2">
        <f t="shared" si="6"/>
        <v>1647.1871582795388</v>
      </c>
      <c r="L150" s="31">
        <f t="shared" si="7"/>
        <v>4146.7936709687392</v>
      </c>
      <c r="M150" s="9"/>
      <c r="N150" s="9"/>
    </row>
    <row r="151" spans="2:14" x14ac:dyDescent="0.25">
      <c r="B151" s="5">
        <v>70</v>
      </c>
      <c r="C151" s="2">
        <f t="shared" si="4"/>
        <v>8177.0300861624282</v>
      </c>
      <c r="F151" s="2">
        <f t="shared" si="5"/>
        <v>1365.6987532182548</v>
      </c>
      <c r="I151" s="2">
        <f t="shared" si="6"/>
        <v>1720.7804290550007</v>
      </c>
      <c r="L151" s="31">
        <f t="shared" si="7"/>
        <v>4332.0647301459639</v>
      </c>
      <c r="M151" s="9"/>
      <c r="N151" s="9"/>
    </row>
    <row r="152" spans="2:14" x14ac:dyDescent="0.25">
      <c r="B152" s="5">
        <v>80</v>
      </c>
      <c r="C152" s="2">
        <f t="shared" si="4"/>
        <v>9345.1772413284889</v>
      </c>
      <c r="F152" s="2">
        <f t="shared" si="5"/>
        <v>1424.1061109765578</v>
      </c>
      <c r="I152" s="2">
        <f t="shared" si="6"/>
        <v>1794.3736998304626</v>
      </c>
      <c r="L152" s="31">
        <f t="shared" si="7"/>
        <v>4517.3357893231896</v>
      </c>
      <c r="M152" s="9"/>
      <c r="N152" s="9"/>
    </row>
    <row r="153" spans="2:14" x14ac:dyDescent="0.25">
      <c r="B153" s="5">
        <v>90</v>
      </c>
      <c r="C153" s="2">
        <f t="shared" si="4"/>
        <v>10513.32439649455</v>
      </c>
      <c r="F153" s="2">
        <f t="shared" si="5"/>
        <v>1482.5134687348609</v>
      </c>
      <c r="I153" s="2">
        <f t="shared" si="6"/>
        <v>1867.9669706059244</v>
      </c>
      <c r="L153" s="31">
        <f t="shared" si="7"/>
        <v>4702.6068485004143</v>
      </c>
      <c r="M153" s="9"/>
      <c r="N153" s="9"/>
    </row>
    <row r="154" spans="2:14" x14ac:dyDescent="0.25">
      <c r="B154" s="5">
        <v>100</v>
      </c>
      <c r="C154" s="2">
        <f t="shared" si="4"/>
        <v>11681.471551660612</v>
      </c>
      <c r="F154" s="2">
        <f t="shared" si="5"/>
        <v>1540.920826493164</v>
      </c>
      <c r="I154" s="2">
        <f t="shared" si="6"/>
        <v>1941.5602413813863</v>
      </c>
      <c r="L154" s="31">
        <f t="shared" si="7"/>
        <v>4887.8779076776391</v>
      </c>
      <c r="M154" s="9"/>
      <c r="N154" s="9"/>
    </row>
    <row r="155" spans="2:14" x14ac:dyDescent="0.25">
      <c r="B155" s="5">
        <v>110</v>
      </c>
      <c r="C155" s="2">
        <f t="shared" si="4"/>
        <v>12849.618706826674</v>
      </c>
      <c r="F155" s="2">
        <f t="shared" si="5"/>
        <v>1599.3281842514671</v>
      </c>
      <c r="I155" s="2">
        <f t="shared" si="6"/>
        <v>2015.1535121568484</v>
      </c>
      <c r="L155" s="31">
        <f t="shared" si="7"/>
        <v>5073.1489668548647</v>
      </c>
      <c r="M155" s="9"/>
      <c r="N155" s="9"/>
    </row>
    <row r="156" spans="2:14" x14ac:dyDescent="0.25">
      <c r="B156" s="5">
        <v>120</v>
      </c>
      <c r="C156" s="2">
        <f t="shared" si="4"/>
        <v>14017.765861992733</v>
      </c>
      <c r="F156" s="2">
        <f t="shared" si="5"/>
        <v>1657.7355420097699</v>
      </c>
      <c r="I156" s="2">
        <f t="shared" si="6"/>
        <v>2088.7467829323095</v>
      </c>
      <c r="L156" s="31">
        <f t="shared" si="7"/>
        <v>5258.4200260320886</v>
      </c>
      <c r="M156" s="9"/>
      <c r="N156" s="9"/>
    </row>
    <row r="157" spans="2:14" x14ac:dyDescent="0.25">
      <c r="B157" s="5">
        <v>130</v>
      </c>
      <c r="C157" s="2">
        <f t="shared" si="4"/>
        <v>15185.913017158795</v>
      </c>
      <c r="F157" s="2">
        <f t="shared" si="5"/>
        <v>1716.1428997680732</v>
      </c>
      <c r="I157" s="2">
        <f t="shared" si="6"/>
        <v>2162.3400537077719</v>
      </c>
      <c r="L157" s="31">
        <f t="shared" si="7"/>
        <v>5443.6910852093151</v>
      </c>
      <c r="M157" s="9"/>
      <c r="N157" s="9"/>
    </row>
    <row r="158" spans="2:14" x14ac:dyDescent="0.25">
      <c r="B158" s="5">
        <v>140</v>
      </c>
      <c r="C158" s="2">
        <f t="shared" si="4"/>
        <v>16354.060172324856</v>
      </c>
      <c r="F158" s="2">
        <f t="shared" si="5"/>
        <v>1774.5502575263761</v>
      </c>
      <c r="I158" s="2">
        <f t="shared" si="6"/>
        <v>2235.9333244832337</v>
      </c>
      <c r="L158" s="31">
        <f t="shared" si="7"/>
        <v>5628.9621443865399</v>
      </c>
      <c r="M158" s="9"/>
      <c r="N158" s="9"/>
    </row>
    <row r="159" spans="2:14" x14ac:dyDescent="0.25">
      <c r="B159" s="5">
        <v>150</v>
      </c>
      <c r="C159" s="2">
        <f t="shared" si="4"/>
        <v>17522.207327490916</v>
      </c>
      <c r="F159" s="2">
        <f t="shared" si="5"/>
        <v>1832.9576152846794</v>
      </c>
      <c r="I159" s="2">
        <f t="shared" si="6"/>
        <v>2309.5265952586956</v>
      </c>
      <c r="L159" s="31">
        <f t="shared" si="7"/>
        <v>5814.2332035637655</v>
      </c>
      <c r="M159" s="9"/>
      <c r="N159" s="9"/>
    </row>
    <row r="160" spans="2:14" x14ac:dyDescent="0.25">
      <c r="B160" s="5">
        <v>160</v>
      </c>
      <c r="C160" s="2">
        <f t="shared" si="4"/>
        <v>18690.354482656978</v>
      </c>
      <c r="F160" s="2">
        <f t="shared" si="5"/>
        <v>1891.3649730429822</v>
      </c>
      <c r="I160" s="2">
        <f t="shared" si="6"/>
        <v>2383.1198660341574</v>
      </c>
      <c r="L160" s="31">
        <f t="shared" si="7"/>
        <v>5999.5042627409903</v>
      </c>
      <c r="M160" s="9"/>
      <c r="N160" s="9"/>
    </row>
  </sheetData>
  <mergeCells count="121">
    <mergeCell ref="B116:D116"/>
    <mergeCell ref="F116:G116"/>
    <mergeCell ref="L116:N116"/>
    <mergeCell ref="P116:Q116"/>
    <mergeCell ref="B122:C125"/>
    <mergeCell ref="B143:C146"/>
    <mergeCell ref="B113:D113"/>
    <mergeCell ref="L113:N113"/>
    <mergeCell ref="B114:D114"/>
    <mergeCell ref="L114:N114"/>
    <mergeCell ref="B115:C115"/>
    <mergeCell ref="L115:M115"/>
    <mergeCell ref="L109:M109"/>
    <mergeCell ref="P109:Q109"/>
    <mergeCell ref="F110:G110"/>
    <mergeCell ref="P110:Q110"/>
    <mergeCell ref="B112:D112"/>
    <mergeCell ref="F112:G112"/>
    <mergeCell ref="L112:N112"/>
    <mergeCell ref="P112:Q112"/>
    <mergeCell ref="B101:D101"/>
    <mergeCell ref="B102:D102"/>
    <mergeCell ref="B103:C103"/>
    <mergeCell ref="B104:D104"/>
    <mergeCell ref="F104:G104"/>
    <mergeCell ref="B109:C109"/>
    <mergeCell ref="F109:G109"/>
    <mergeCell ref="D95:E95"/>
    <mergeCell ref="B97:C97"/>
    <mergeCell ref="F97:G97"/>
    <mergeCell ref="F98:G98"/>
    <mergeCell ref="B100:D100"/>
    <mergeCell ref="F100:G100"/>
    <mergeCell ref="A79:J79"/>
    <mergeCell ref="A82:I82"/>
    <mergeCell ref="A84:H84"/>
    <mergeCell ref="A85:J85"/>
    <mergeCell ref="A89:J89"/>
    <mergeCell ref="A90:J90"/>
    <mergeCell ref="A74:E74"/>
    <mergeCell ref="A75:F75"/>
    <mergeCell ref="I75:J75"/>
    <mergeCell ref="I76:J76"/>
    <mergeCell ref="I77:J77"/>
    <mergeCell ref="I78:J78"/>
    <mergeCell ref="A65:J65"/>
    <mergeCell ref="A67:I67"/>
    <mergeCell ref="A69:E69"/>
    <mergeCell ref="I69:J69"/>
    <mergeCell ref="C70:F70"/>
    <mergeCell ref="C71:F71"/>
    <mergeCell ref="C54:F54"/>
    <mergeCell ref="C55:F55"/>
    <mergeCell ref="C58:F58"/>
    <mergeCell ref="C60:G60"/>
    <mergeCell ref="C62:E62"/>
    <mergeCell ref="C63:F63"/>
    <mergeCell ref="A49:E49"/>
    <mergeCell ref="H50:I50"/>
    <mergeCell ref="C51:F51"/>
    <mergeCell ref="H51:I51"/>
    <mergeCell ref="C52:F52"/>
    <mergeCell ref="C53:F53"/>
    <mergeCell ref="B41:D41"/>
    <mergeCell ref="F41:H41"/>
    <mergeCell ref="A42:E42"/>
    <mergeCell ref="A43:J43"/>
    <mergeCell ref="A45:J45"/>
    <mergeCell ref="A47:J47"/>
    <mergeCell ref="A36:E36"/>
    <mergeCell ref="B37:D37"/>
    <mergeCell ref="E37:F37"/>
    <mergeCell ref="B38:D38"/>
    <mergeCell ref="B39:D39"/>
    <mergeCell ref="B40:D40"/>
    <mergeCell ref="A28:D28"/>
    <mergeCell ref="E28:F28"/>
    <mergeCell ref="A31:F31"/>
    <mergeCell ref="A32:D32"/>
    <mergeCell ref="E32:F32"/>
    <mergeCell ref="A33:D33"/>
    <mergeCell ref="A25:D25"/>
    <mergeCell ref="E25:F25"/>
    <mergeCell ref="A26:D26"/>
    <mergeCell ref="E26:F26"/>
    <mergeCell ref="A27:D27"/>
    <mergeCell ref="E27:F27"/>
    <mergeCell ref="K18:N18"/>
    <mergeCell ref="A19:F19"/>
    <mergeCell ref="A20:F20"/>
    <mergeCell ref="A23:F23"/>
    <mergeCell ref="A24:D24"/>
    <mergeCell ref="E24:F24"/>
    <mergeCell ref="A16:D16"/>
    <mergeCell ref="E16:F16"/>
    <mergeCell ref="K16:N17"/>
    <mergeCell ref="H21:N22"/>
    <mergeCell ref="O16:O17"/>
    <mergeCell ref="P16:P17"/>
    <mergeCell ref="T17:V17"/>
    <mergeCell ref="A14:D14"/>
    <mergeCell ref="E14:F14"/>
    <mergeCell ref="K14:N15"/>
    <mergeCell ref="O14:O15"/>
    <mergeCell ref="P14:P15"/>
    <mergeCell ref="E15:F15"/>
    <mergeCell ref="A11:F11"/>
    <mergeCell ref="K11:N11"/>
    <mergeCell ref="A12:C12"/>
    <mergeCell ref="E12:F12"/>
    <mergeCell ref="K12:N12"/>
    <mergeCell ref="A13:D13"/>
    <mergeCell ref="E13:F13"/>
    <mergeCell ref="K13:N13"/>
    <mergeCell ref="C2:F6"/>
    <mergeCell ref="H3:P5"/>
    <mergeCell ref="F7:H7"/>
    <mergeCell ref="K7:N7"/>
    <mergeCell ref="B8:C8"/>
    <mergeCell ref="I9:P9"/>
    <mergeCell ref="A9:F9"/>
  </mergeCells>
  <conditionalFormatting sqref="P19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{DDE90726-16A8-45EE-8268-27A02B95D099}</x14:id>
        </ext>
      </extLst>
    </cfRule>
  </conditionalFormatting>
  <dataValidations count="3">
    <dataValidation type="list" allowBlank="1" showInputMessage="1" showErrorMessage="1" sqref="E15:F15">
      <formula1>"0,1,2,3,4,5,6,7,8,9,10,11,12,13,14,15"</formula1>
    </dataValidation>
    <dataValidation type="list" allowBlank="1" showInputMessage="1" showErrorMessage="1" sqref="L51">
      <formula1>"LINEAR, MÉTODO COLE"</formula1>
    </dataValidation>
    <dataValidation type="list" allowBlank="1" showInputMessage="1" showErrorMessage="1" sqref="F7:H7 T17:V17">
      <formula1>$Q$119:$Q$122</formula1>
    </dataValidation>
  </dataValidations>
  <pageMargins left="0.51181102362204722" right="0.51181102362204722" top="0.78740157480314965" bottom="0.78740157480314965" header="0.31496062992125984" footer="0.31496062992125984"/>
  <pageSetup paperSize="9" scale="50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DE90726-16A8-45EE-8268-27A02B95D09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P19</xm:sqref>
        </x14:conditionalFormatting>
      </x14:conditionalFormatting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43">
    <tabColor rgb="FF00B0F0"/>
  </sheetPr>
  <dimension ref="A2:V160"/>
  <sheetViews>
    <sheetView tabSelected="1" view="pageBreakPreview" topLeftCell="A45" zoomScale="85" zoomScaleNormal="100" zoomScaleSheetLayoutView="85" workbookViewId="0">
      <selection activeCell="A57" sqref="A57"/>
    </sheetView>
  </sheetViews>
  <sheetFormatPr defaultColWidth="8.85546875" defaultRowHeight="15" x14ac:dyDescent="0.25"/>
  <cols>
    <col min="2" max="2" width="14.140625" customWidth="1"/>
    <col min="3" max="3" width="15.28515625" customWidth="1"/>
    <col min="5" max="5" width="12.42578125" customWidth="1"/>
    <col min="6" max="6" width="13.5703125" customWidth="1"/>
    <col min="7" max="7" width="12.140625" customWidth="1"/>
    <col min="9" max="9" width="10.7109375" customWidth="1"/>
    <col min="10" max="10" width="12.140625" bestFit="1" customWidth="1"/>
    <col min="11" max="11" width="16.42578125" bestFit="1" customWidth="1"/>
    <col min="12" max="12" width="14.42578125" customWidth="1"/>
    <col min="14" max="14" width="6.42578125" customWidth="1"/>
    <col min="15" max="15" width="9" customWidth="1"/>
    <col min="16" max="16" width="10.42578125" customWidth="1"/>
    <col min="17" max="17" width="15.140625" customWidth="1"/>
    <col min="18" max="18" width="14.7109375" bestFit="1" customWidth="1"/>
    <col min="19" max="19" width="19.42578125" bestFit="1" customWidth="1"/>
  </cols>
  <sheetData>
    <row r="2" spans="1:19" x14ac:dyDescent="0.25">
      <c r="C2" s="239" t="s">
        <v>151</v>
      </c>
      <c r="D2" s="240"/>
      <c r="E2" s="240"/>
      <c r="F2" s="240"/>
    </row>
    <row r="3" spans="1:19" x14ac:dyDescent="0.25">
      <c r="C3" s="240"/>
      <c r="D3" s="240"/>
      <c r="E3" s="240"/>
      <c r="F3" s="240"/>
      <c r="H3" s="241" t="s">
        <v>64</v>
      </c>
      <c r="I3" s="239"/>
      <c r="J3" s="239"/>
      <c r="K3" s="239"/>
      <c r="L3" s="239"/>
      <c r="M3" s="239"/>
      <c r="N3" s="239"/>
      <c r="O3" s="239"/>
      <c r="P3" s="239"/>
    </row>
    <row r="4" spans="1:19" x14ac:dyDescent="0.25">
      <c r="C4" s="240"/>
      <c r="D4" s="240"/>
      <c r="E4" s="240"/>
      <c r="F4" s="240"/>
      <c r="H4" s="239"/>
      <c r="I4" s="239"/>
      <c r="J4" s="239"/>
      <c r="K4" s="239"/>
      <c r="L4" s="239"/>
      <c r="M4" s="239"/>
      <c r="N4" s="239"/>
      <c r="O4" s="239"/>
      <c r="P4" s="239"/>
    </row>
    <row r="5" spans="1:19" x14ac:dyDescent="0.25">
      <c r="C5" s="240"/>
      <c r="D5" s="240"/>
      <c r="E5" s="240"/>
      <c r="F5" s="240"/>
      <c r="H5" s="239"/>
      <c r="I5" s="239"/>
      <c r="J5" s="239"/>
      <c r="K5" s="239"/>
      <c r="L5" s="239"/>
      <c r="M5" s="239"/>
      <c r="N5" s="239"/>
      <c r="O5" s="239"/>
      <c r="P5" s="239"/>
    </row>
    <row r="6" spans="1:19" x14ac:dyDescent="0.25">
      <c r="C6" s="240"/>
      <c r="D6" s="240"/>
      <c r="E6" s="240"/>
      <c r="F6" s="240"/>
    </row>
    <row r="7" spans="1:19" ht="21" x14ac:dyDescent="0.35">
      <c r="E7" s="18" t="s">
        <v>80</v>
      </c>
      <c r="F7" s="235" t="s">
        <v>65</v>
      </c>
      <c r="G7" s="235"/>
      <c r="H7" s="235"/>
      <c r="K7" s="242" t="s">
        <v>286</v>
      </c>
      <c r="L7" s="243"/>
      <c r="M7" s="243"/>
      <c r="N7" s="243"/>
    </row>
    <row r="8" spans="1:19" ht="15.75" x14ac:dyDescent="0.25">
      <c r="B8" s="194"/>
      <c r="C8" s="194"/>
      <c r="D8" s="8"/>
      <c r="E8" s="8"/>
      <c r="F8" s="8"/>
      <c r="J8" s="9"/>
    </row>
    <row r="9" spans="1:19" ht="21" x14ac:dyDescent="0.35">
      <c r="A9" s="235" t="s">
        <v>352</v>
      </c>
      <c r="B9" s="235"/>
      <c r="C9" s="235"/>
      <c r="D9" s="235"/>
      <c r="E9" s="235"/>
      <c r="F9" s="235"/>
      <c r="I9" s="244" t="s">
        <v>157</v>
      </c>
      <c r="J9" s="244"/>
      <c r="K9" s="244"/>
      <c r="L9" s="244"/>
      <c r="M9" s="244"/>
      <c r="N9" s="244"/>
      <c r="O9" s="244"/>
      <c r="P9" s="244"/>
      <c r="R9" s="9" t="s">
        <v>155</v>
      </c>
      <c r="S9" s="9" t="s">
        <v>156</v>
      </c>
    </row>
    <row r="10" spans="1:19" x14ac:dyDescent="0.25">
      <c r="R10" s="2">
        <f>K43</f>
        <v>1026.4308625115998</v>
      </c>
      <c r="S10" s="43">
        <f>K45</f>
        <v>3496.5458434788638</v>
      </c>
    </row>
    <row r="11" spans="1:19" ht="17.25" x14ac:dyDescent="0.3">
      <c r="A11" s="236" t="s">
        <v>150</v>
      </c>
      <c r="B11" s="237"/>
      <c r="C11" s="237"/>
      <c r="D11" s="237"/>
      <c r="E11" s="237"/>
      <c r="F11" s="238"/>
      <c r="G11" s="40" t="s">
        <v>0</v>
      </c>
      <c r="K11" s="206" t="s">
        <v>15</v>
      </c>
      <c r="L11" s="206"/>
      <c r="M11" s="206"/>
      <c r="N11" s="206"/>
      <c r="O11" s="161">
        <f>O12+O13</f>
        <v>40.14</v>
      </c>
      <c r="P11" s="47" t="s">
        <v>14</v>
      </c>
      <c r="R11" s="130">
        <f>K65/O18*O14</f>
        <v>4834.2955176625564</v>
      </c>
      <c r="S11" s="130">
        <f>K65/O18*O16</f>
        <v>14302.649460540108</v>
      </c>
    </row>
    <row r="12" spans="1:19" ht="15.75" x14ac:dyDescent="0.25">
      <c r="A12" s="214" t="s">
        <v>107</v>
      </c>
      <c r="B12" s="215"/>
      <c r="C12" s="215"/>
      <c r="D12" s="48"/>
      <c r="E12" s="218">
        <f>Insumos!$B$4</f>
        <v>531068.38</v>
      </c>
      <c r="F12" s="218"/>
      <c r="G12" s="1"/>
      <c r="K12" s="206" t="s">
        <v>136</v>
      </c>
      <c r="L12" s="206"/>
      <c r="M12" s="206"/>
      <c r="N12" s="206"/>
      <c r="O12" s="150">
        <v>10.14</v>
      </c>
      <c r="P12" s="47" t="s">
        <v>14</v>
      </c>
      <c r="R12" s="2">
        <f>K72/O18*O14</f>
        <v>404.41900598181195</v>
      </c>
      <c r="S12" s="2">
        <f>K72/O18*O16</f>
        <v>1196.5059348574318</v>
      </c>
    </row>
    <row r="13" spans="1:19" ht="15.75" x14ac:dyDescent="0.25">
      <c r="A13" s="214" t="s">
        <v>285</v>
      </c>
      <c r="B13" s="215"/>
      <c r="C13" s="215"/>
      <c r="D13" s="216"/>
      <c r="E13" s="198">
        <f>'DEPRECIAÇÃO LINEAR'!D15</f>
        <v>10</v>
      </c>
      <c r="F13" s="198"/>
      <c r="K13" s="206" t="s">
        <v>137</v>
      </c>
      <c r="L13" s="206"/>
      <c r="M13" s="206"/>
      <c r="N13" s="206"/>
      <c r="O13" s="150">
        <v>30</v>
      </c>
      <c r="P13" s="47" t="s">
        <v>14</v>
      </c>
      <c r="R13" s="2">
        <f>K79/O18*O14</f>
        <v>604.24914504985543</v>
      </c>
      <c r="S13" s="2">
        <f>K79/O18*O16</f>
        <v>1787.7193640528267</v>
      </c>
    </row>
    <row r="14" spans="1:19" ht="15" customHeight="1" x14ac:dyDescent="0.25">
      <c r="A14" s="214" t="s">
        <v>23</v>
      </c>
      <c r="B14" s="215"/>
      <c r="C14" s="215"/>
      <c r="D14" s="216"/>
      <c r="E14" s="219">
        <v>2026</v>
      </c>
      <c r="F14" s="220"/>
      <c r="K14" s="223" t="s">
        <v>138</v>
      </c>
      <c r="L14" s="223"/>
      <c r="M14" s="223"/>
      <c r="N14" s="223"/>
      <c r="O14" s="232">
        <f>O12*21</f>
        <v>212.94</v>
      </c>
      <c r="P14" s="234" t="s">
        <v>14</v>
      </c>
      <c r="R14" s="2">
        <f>SUM(R10:R13)</f>
        <v>6869.394531205824</v>
      </c>
      <c r="S14" s="2">
        <f>SUM(S10:S13)</f>
        <v>20783.420602929233</v>
      </c>
    </row>
    <row r="15" spans="1:19" ht="15.75" customHeight="1" x14ac:dyDescent="0.25">
      <c r="A15" s="49" t="s">
        <v>79</v>
      </c>
      <c r="B15" s="48"/>
      <c r="C15" s="48"/>
      <c r="D15" s="48"/>
      <c r="E15" s="198">
        <v>0</v>
      </c>
      <c r="F15" s="198"/>
      <c r="G15" s="41" t="s">
        <v>128</v>
      </c>
      <c r="I15" s="28"/>
      <c r="J15" s="28"/>
      <c r="K15" s="223"/>
      <c r="L15" s="223"/>
      <c r="M15" s="223"/>
      <c r="N15" s="223"/>
      <c r="O15" s="233"/>
      <c r="P15" s="234"/>
      <c r="R15" s="31">
        <f>IFERROR(R14/O14,0)</f>
        <v>32.259765808236239</v>
      </c>
      <c r="S15" s="31">
        <f>IFERROR(S14/O16,0)</f>
        <v>32.989556512586084</v>
      </c>
    </row>
    <row r="16" spans="1:19" ht="15" customHeight="1" x14ac:dyDescent="0.25">
      <c r="A16" s="214" t="s">
        <v>84</v>
      </c>
      <c r="B16" s="215"/>
      <c r="C16" s="215"/>
      <c r="D16" s="215"/>
      <c r="E16" s="198" t="str">
        <f>IF($F$7=$D$95,F104,IF($F$7=$D$107,F116,IF($F$7=$N$95,Q104,IF($F$7=$O$107,P116,""))))</f>
        <v>ATÉ 59 ALUNOS</v>
      </c>
      <c r="F16" s="198"/>
      <c r="I16" s="28"/>
      <c r="J16" s="28"/>
      <c r="K16" s="223" t="s">
        <v>139</v>
      </c>
      <c r="L16" s="223"/>
      <c r="M16" s="223"/>
      <c r="N16" s="223"/>
      <c r="O16" s="232">
        <f>O13*21</f>
        <v>630</v>
      </c>
      <c r="P16" s="234" t="s">
        <v>14</v>
      </c>
    </row>
    <row r="17" spans="1:22" ht="15" customHeight="1" x14ac:dyDescent="0.35">
      <c r="I17" s="28"/>
      <c r="J17" s="28"/>
      <c r="K17" s="223"/>
      <c r="L17" s="223"/>
      <c r="M17" s="223"/>
      <c r="N17" s="223"/>
      <c r="O17" s="233"/>
      <c r="P17" s="234"/>
      <c r="R17" s="2">
        <f>R14+S14</f>
        <v>27652.815134135057</v>
      </c>
      <c r="T17" s="235"/>
      <c r="U17" s="235"/>
      <c r="V17" s="235"/>
    </row>
    <row r="18" spans="1:22" ht="15" customHeight="1" x14ac:dyDescent="0.25">
      <c r="I18" s="28"/>
      <c r="J18" s="28"/>
      <c r="K18" s="223" t="s">
        <v>140</v>
      </c>
      <c r="L18" s="223"/>
      <c r="M18" s="223"/>
      <c r="N18" s="223"/>
      <c r="O18" s="46">
        <f>O16+O14</f>
        <v>842.94</v>
      </c>
      <c r="P18" s="47" t="s">
        <v>14</v>
      </c>
      <c r="R18" s="2">
        <f>R17/O18</f>
        <v>32.805199817466317</v>
      </c>
    </row>
    <row r="19" spans="1:22" ht="15.75" customHeight="1" thickBot="1" x14ac:dyDescent="0.35">
      <c r="A19" s="224" t="s">
        <v>1</v>
      </c>
      <c r="B19" s="225"/>
      <c r="C19" s="225"/>
      <c r="D19" s="225"/>
      <c r="E19" s="225"/>
      <c r="F19" s="225"/>
      <c r="I19" s="29"/>
      <c r="J19" s="29"/>
      <c r="K19" s="29"/>
      <c r="L19" s="29"/>
      <c r="M19" s="29"/>
    </row>
    <row r="20" spans="1:22" ht="15" customHeight="1" x14ac:dyDescent="0.25">
      <c r="A20" s="206" t="s">
        <v>106</v>
      </c>
      <c r="B20" s="206"/>
      <c r="C20" s="206"/>
      <c r="D20" s="206"/>
      <c r="E20" s="206"/>
      <c r="F20" s="206"/>
      <c r="H20" s="279" t="s">
        <v>321</v>
      </c>
      <c r="I20" s="280"/>
      <c r="J20" s="280"/>
      <c r="K20" s="280"/>
      <c r="L20" s="280"/>
      <c r="M20" s="280"/>
      <c r="N20" s="281"/>
      <c r="O20" s="93">
        <f>K90</f>
        <v>32.80519981746631</v>
      </c>
      <c r="R20" s="93">
        <f>K90</f>
        <v>32.80519981746631</v>
      </c>
    </row>
    <row r="21" spans="1:22" ht="15.75" thickBot="1" x14ac:dyDescent="0.3">
      <c r="H21" s="282"/>
      <c r="I21" s="283"/>
      <c r="J21" s="283"/>
      <c r="K21" s="283"/>
      <c r="L21" s="283"/>
      <c r="M21" s="283"/>
      <c r="N21" s="284"/>
      <c r="O21" s="2"/>
    </row>
    <row r="23" spans="1:22" ht="17.25" x14ac:dyDescent="0.3">
      <c r="A23" s="224" t="s">
        <v>2</v>
      </c>
      <c r="B23" s="225"/>
      <c r="C23" s="225"/>
      <c r="D23" s="225"/>
      <c r="E23" s="225"/>
      <c r="F23" s="225"/>
      <c r="L23" s="2"/>
    </row>
    <row r="24" spans="1:22" ht="15.75" x14ac:dyDescent="0.25">
      <c r="A24" s="214" t="s">
        <v>11</v>
      </c>
      <c r="B24" s="215"/>
      <c r="C24" s="215"/>
      <c r="D24" s="215"/>
      <c r="E24" s="198">
        <f>IF($F$7=$D$95,F100,IF($F$7=$D$107,F112,IF($F$7=$N$95,Q100,IF($F$7=$O$107,P112,""))))</f>
        <v>6</v>
      </c>
      <c r="F24" s="198"/>
    </row>
    <row r="25" spans="1:22" ht="15.75" x14ac:dyDescent="0.25">
      <c r="A25" s="214" t="s">
        <v>9</v>
      </c>
      <c r="B25" s="215"/>
      <c r="C25" s="215"/>
      <c r="D25" s="216"/>
      <c r="E25" s="218">
        <f>Insumos!$B$5</f>
        <v>2453.2399999999998</v>
      </c>
      <c r="F25" s="218"/>
    </row>
    <row r="26" spans="1:22" ht="15.75" x14ac:dyDescent="0.25">
      <c r="A26" s="214" t="s">
        <v>147</v>
      </c>
      <c r="B26" s="215"/>
      <c r="C26" s="215"/>
      <c r="D26" s="216"/>
      <c r="E26" s="219">
        <v>2</v>
      </c>
      <c r="F26" s="220"/>
    </row>
    <row r="27" spans="1:22" ht="15.75" x14ac:dyDescent="0.25">
      <c r="A27" s="214" t="s">
        <v>148</v>
      </c>
      <c r="B27" s="215"/>
      <c r="C27" s="215"/>
      <c r="D27" s="216"/>
      <c r="E27" s="221">
        <f>Insumos!$B$6</f>
        <v>975.83</v>
      </c>
      <c r="F27" s="222"/>
    </row>
    <row r="28" spans="1:22" ht="15.75" x14ac:dyDescent="0.25">
      <c r="A28" s="214" t="s">
        <v>149</v>
      </c>
      <c r="B28" s="215"/>
      <c r="C28" s="215"/>
      <c r="D28" s="216"/>
      <c r="E28" s="217">
        <v>100000</v>
      </c>
      <c r="F28" s="217"/>
    </row>
    <row r="31" spans="1:22" ht="15.75" x14ac:dyDescent="0.25">
      <c r="A31" s="191" t="s">
        <v>3</v>
      </c>
      <c r="B31" s="192"/>
      <c r="C31" s="192"/>
      <c r="D31" s="192"/>
      <c r="E31" s="192"/>
      <c r="F31" s="192"/>
    </row>
    <row r="32" spans="1:22" ht="15.75" x14ac:dyDescent="0.25">
      <c r="A32" s="214" t="s">
        <v>19</v>
      </c>
      <c r="B32" s="215"/>
      <c r="C32" s="215"/>
      <c r="D32" s="216"/>
      <c r="E32" s="218">
        <f>Insumos!$B$7</f>
        <v>7.6</v>
      </c>
      <c r="F32" s="218"/>
    </row>
    <row r="33" spans="1:14" ht="15.75" x14ac:dyDescent="0.25">
      <c r="A33" s="214" t="s">
        <v>17</v>
      </c>
      <c r="B33" s="215"/>
      <c r="C33" s="215"/>
      <c r="D33" s="216"/>
      <c r="E33" s="46">
        <f>IF($F$7=$D$95,G103,IF($F$7=$D$107,G115,IF($F$7=$N$95,Q103,IF($F$7=$O$107,Q115,""))))</f>
        <v>2.6</v>
      </c>
      <c r="F33" s="50" t="s">
        <v>18</v>
      </c>
    </row>
    <row r="36" spans="1:14" ht="17.25" x14ac:dyDescent="0.3">
      <c r="A36" s="208" t="s">
        <v>20</v>
      </c>
      <c r="B36" s="209"/>
      <c r="C36" s="209"/>
      <c r="D36" s="209"/>
      <c r="E36" s="209"/>
    </row>
    <row r="37" spans="1:14" x14ac:dyDescent="0.25">
      <c r="B37" s="210"/>
      <c r="C37" s="210"/>
      <c r="D37" s="211"/>
      <c r="E37" s="212" t="s">
        <v>4</v>
      </c>
      <c r="F37" s="213"/>
    </row>
    <row r="38" spans="1:14" ht="15.75" x14ac:dyDescent="0.25">
      <c r="A38" s="46" t="s">
        <v>346</v>
      </c>
      <c r="B38" s="214" t="s">
        <v>52</v>
      </c>
      <c r="C38" s="215"/>
      <c r="D38" s="216"/>
      <c r="E38" s="46">
        <f>1/E33</f>
        <v>0.38461538461538458</v>
      </c>
      <c r="F38" s="7" t="s">
        <v>5</v>
      </c>
      <c r="G38" s="7"/>
      <c r="H38" s="7"/>
      <c r="I38" s="7"/>
      <c r="J38" s="7"/>
      <c r="K38" s="58">
        <f>E32*E38</f>
        <v>2.9230769230769225</v>
      </c>
      <c r="L38" s="51" t="s">
        <v>13</v>
      </c>
      <c r="N38" s="2"/>
    </row>
    <row r="39" spans="1:14" ht="15.75" x14ac:dyDescent="0.25">
      <c r="A39" s="46" t="s">
        <v>6</v>
      </c>
      <c r="B39" s="206" t="s">
        <v>152</v>
      </c>
      <c r="C39" s="206"/>
      <c r="D39" s="206"/>
      <c r="E39" s="46">
        <v>0.04</v>
      </c>
      <c r="F39" s="7" t="s">
        <v>5</v>
      </c>
      <c r="G39" s="7"/>
      <c r="H39" s="7"/>
      <c r="I39" s="7"/>
      <c r="J39" s="7"/>
      <c r="K39" s="58">
        <f>E39*E32</f>
        <v>0.30399999999999999</v>
      </c>
      <c r="L39" s="51" t="s">
        <v>13</v>
      </c>
    </row>
    <row r="40" spans="1:14" ht="15.75" x14ac:dyDescent="0.25">
      <c r="A40" s="46" t="s">
        <v>7</v>
      </c>
      <c r="B40" s="206" t="s">
        <v>8</v>
      </c>
      <c r="C40" s="206"/>
      <c r="D40" s="206"/>
      <c r="E40" s="46"/>
      <c r="F40" s="7"/>
      <c r="G40" s="7"/>
      <c r="H40" s="7"/>
      <c r="I40" s="7"/>
      <c r="J40" s="7"/>
      <c r="K40" s="58">
        <f>((E25*E24)+(E26*E24*E27))/E28</f>
        <v>0.26429400000000003</v>
      </c>
      <c r="L40" s="51" t="s">
        <v>13</v>
      </c>
    </row>
    <row r="41" spans="1:14" ht="15.75" x14ac:dyDescent="0.25">
      <c r="A41" s="46" t="s">
        <v>12</v>
      </c>
      <c r="B41" s="206" t="s">
        <v>153</v>
      </c>
      <c r="C41" s="206"/>
      <c r="D41" s="206"/>
      <c r="E41" s="70">
        <v>3.0000000000000001E-6</v>
      </c>
      <c r="F41" s="193" t="s">
        <v>10</v>
      </c>
      <c r="G41" s="193"/>
      <c r="H41" s="193"/>
      <c r="I41" s="7"/>
      <c r="J41" s="7"/>
      <c r="K41" s="58">
        <f>(E41*E12)-(K40)</f>
        <v>1.32891114</v>
      </c>
      <c r="L41" s="51" t="s">
        <v>13</v>
      </c>
    </row>
    <row r="42" spans="1:14" ht="15.75" x14ac:dyDescent="0.25">
      <c r="A42" s="207"/>
      <c r="B42" s="207"/>
      <c r="C42" s="207"/>
      <c r="D42" s="207"/>
      <c r="E42" s="207"/>
      <c r="F42" s="7"/>
      <c r="G42" s="7"/>
      <c r="H42" s="7"/>
      <c r="I42" s="7"/>
      <c r="J42" s="7"/>
      <c r="K42" s="58">
        <f>SUM(K38:K41)</f>
        <v>4.8202820630769221</v>
      </c>
      <c r="L42" s="51" t="s">
        <v>13</v>
      </c>
    </row>
    <row r="43" spans="1:14" ht="21" customHeight="1" x14ac:dyDescent="0.25">
      <c r="A43" s="200" t="s">
        <v>144</v>
      </c>
      <c r="B43" s="200"/>
      <c r="C43" s="200"/>
      <c r="D43" s="200"/>
      <c r="E43" s="200"/>
      <c r="F43" s="200"/>
      <c r="G43" s="200"/>
      <c r="H43" s="200"/>
      <c r="I43" s="200"/>
      <c r="J43" s="200"/>
      <c r="K43" s="68">
        <f>K42*O14</f>
        <v>1026.4308625115998</v>
      </c>
      <c r="L43" s="52" t="s">
        <v>16</v>
      </c>
    </row>
    <row r="45" spans="1:14" ht="18.75" x14ac:dyDescent="0.3">
      <c r="A45" s="190" t="s">
        <v>145</v>
      </c>
      <c r="B45" s="190"/>
      <c r="C45" s="190"/>
      <c r="D45" s="190"/>
      <c r="E45" s="190"/>
      <c r="F45" s="190"/>
      <c r="G45" s="190"/>
      <c r="H45" s="190"/>
      <c r="I45" s="190"/>
      <c r="J45" s="190"/>
      <c r="K45" s="65">
        <f>K42*O16*1.1514</f>
        <v>3496.5458434788638</v>
      </c>
      <c r="L45" s="53" t="s">
        <v>16</v>
      </c>
    </row>
    <row r="46" spans="1:14" ht="15.75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</row>
    <row r="47" spans="1:14" ht="18.75" x14ac:dyDescent="0.3">
      <c r="A47" s="190" t="s">
        <v>146</v>
      </c>
      <c r="B47" s="190"/>
      <c r="C47" s="190"/>
      <c r="D47" s="190"/>
      <c r="E47" s="190"/>
      <c r="F47" s="190"/>
      <c r="G47" s="190"/>
      <c r="H47" s="190"/>
      <c r="I47" s="190"/>
      <c r="J47" s="190"/>
      <c r="K47" s="65">
        <f>K43+K45</f>
        <v>4522.9767059904634</v>
      </c>
      <c r="L47" s="54" t="s">
        <v>16</v>
      </c>
    </row>
    <row r="49" spans="1:12" ht="15.75" x14ac:dyDescent="0.25">
      <c r="A49" s="197" t="s">
        <v>21</v>
      </c>
      <c r="B49" s="204"/>
      <c r="C49" s="204"/>
      <c r="D49" s="204"/>
      <c r="E49" s="204"/>
      <c r="F49" s="7"/>
      <c r="G49" s="7"/>
      <c r="H49" s="7"/>
      <c r="I49" s="7"/>
      <c r="J49" s="7"/>
      <c r="K49" s="7"/>
      <c r="L49" s="7"/>
    </row>
    <row r="50" spans="1:12" ht="15.75" x14ac:dyDescent="0.25">
      <c r="A50" s="3"/>
      <c r="B50" s="45"/>
      <c r="C50" s="45"/>
      <c r="D50" s="45"/>
      <c r="E50" s="45"/>
      <c r="F50" s="7"/>
      <c r="G50" s="7"/>
      <c r="H50" s="205" t="s">
        <v>25</v>
      </c>
      <c r="I50" s="205"/>
      <c r="J50" s="7"/>
      <c r="K50" s="7"/>
      <c r="L50" s="7"/>
    </row>
    <row r="51" spans="1:12" ht="15.75" x14ac:dyDescent="0.25">
      <c r="A51" s="7" t="s">
        <v>22</v>
      </c>
      <c r="B51" s="7"/>
      <c r="C51" s="193" t="s">
        <v>24</v>
      </c>
      <c r="D51" s="193"/>
      <c r="E51" s="193"/>
      <c r="F51" s="193"/>
      <c r="G51" s="7"/>
      <c r="H51" s="195"/>
      <c r="I51" s="195"/>
      <c r="J51" s="58"/>
      <c r="K51" s="59">
        <f>IF(L51="LINEAR",'DEPRECIAÇÃO LINEAR'!H23,(VLOOKUP(E15,'DEPRECIAÇÃO LINEAR'!W12:AM25,17,0)))</f>
        <v>3983.0128500000005</v>
      </c>
      <c r="L51" s="55" t="s">
        <v>130</v>
      </c>
    </row>
    <row r="52" spans="1:12" ht="15.75" x14ac:dyDescent="0.25">
      <c r="A52" s="7" t="s">
        <v>26</v>
      </c>
      <c r="B52" s="7"/>
      <c r="C52" s="193" t="s">
        <v>27</v>
      </c>
      <c r="D52" s="193"/>
      <c r="E52" s="193"/>
      <c r="F52" s="193"/>
      <c r="G52" s="7"/>
      <c r="H52" s="7"/>
      <c r="I52" s="7"/>
      <c r="J52" s="58"/>
      <c r="K52" s="58"/>
      <c r="L52" s="7"/>
    </row>
    <row r="53" spans="1:12" ht="15.75" x14ac:dyDescent="0.25">
      <c r="A53" s="7"/>
      <c r="B53" s="7" t="s">
        <v>31</v>
      </c>
      <c r="C53" s="193" t="s">
        <v>28</v>
      </c>
      <c r="D53" s="193"/>
      <c r="E53" s="193"/>
      <c r="F53" s="193"/>
      <c r="G53" s="7"/>
      <c r="H53" s="7"/>
      <c r="I53" s="7"/>
      <c r="J53" s="58"/>
      <c r="K53" s="58">
        <f>'Motorista de Veiculo Pesado'!E90</f>
        <v>8468.4608078400015</v>
      </c>
      <c r="L53" s="7"/>
    </row>
    <row r="54" spans="1:12" ht="15.75" x14ac:dyDescent="0.25">
      <c r="A54" s="7"/>
      <c r="B54" s="7" t="s">
        <v>32</v>
      </c>
      <c r="C54" s="193" t="s">
        <v>29</v>
      </c>
      <c r="D54" s="193"/>
      <c r="E54" s="193"/>
      <c r="F54" s="193"/>
      <c r="G54" s="7"/>
      <c r="H54" s="7"/>
      <c r="I54" s="7"/>
      <c r="J54" s="58"/>
      <c r="K54" s="58">
        <f>'Monitor de Transporte Escolar'!E90</f>
        <v>4485.726463695999</v>
      </c>
      <c r="L54" s="7"/>
    </row>
    <row r="55" spans="1:12" ht="15.75" x14ac:dyDescent="0.25">
      <c r="A55" s="7" t="s">
        <v>30</v>
      </c>
      <c r="B55" s="7"/>
      <c r="C55" s="193" t="s">
        <v>34</v>
      </c>
      <c r="D55" s="193"/>
      <c r="E55" s="193"/>
      <c r="F55" s="193"/>
      <c r="G55" s="7"/>
      <c r="H55" s="7"/>
      <c r="I55" s="7"/>
      <c r="J55" s="58"/>
      <c r="K55" s="58"/>
      <c r="L55" s="56"/>
    </row>
    <row r="56" spans="1:12" ht="15.75" x14ac:dyDescent="0.25">
      <c r="A56" s="7"/>
      <c r="B56" s="7" t="s">
        <v>33</v>
      </c>
      <c r="C56" s="7" t="s">
        <v>35</v>
      </c>
      <c r="D56" s="7"/>
      <c r="E56" s="7"/>
      <c r="F56" s="7"/>
      <c r="G56" s="7"/>
      <c r="H56" s="7"/>
      <c r="I56" s="7"/>
      <c r="J56" s="58">
        <f>1/100*E12</f>
        <v>5310.6837999999998</v>
      </c>
      <c r="K56" s="58">
        <f>J56/12</f>
        <v>442.55698333333333</v>
      </c>
      <c r="L56" s="7"/>
    </row>
    <row r="57" spans="1:12" ht="15.75" x14ac:dyDescent="0.25">
      <c r="A57" s="7"/>
      <c r="B57" s="7" t="s">
        <v>36</v>
      </c>
      <c r="C57" s="7" t="s">
        <v>37</v>
      </c>
      <c r="D57" s="7"/>
      <c r="E57" s="7"/>
      <c r="F57" s="7"/>
      <c r="G57" s="7"/>
      <c r="H57" s="7"/>
      <c r="I57" s="7"/>
      <c r="J57" s="58">
        <v>230.25</v>
      </c>
      <c r="K57" s="58">
        <f>J57/12</f>
        <v>19.1875</v>
      </c>
      <c r="L57" s="7"/>
    </row>
    <row r="58" spans="1:12" ht="15.75" x14ac:dyDescent="0.25">
      <c r="A58" s="7"/>
      <c r="B58" s="7" t="s">
        <v>38</v>
      </c>
      <c r="C58" s="193" t="s">
        <v>39</v>
      </c>
      <c r="D58" s="193"/>
      <c r="E58" s="193"/>
      <c r="F58" s="193"/>
      <c r="G58" s="7"/>
      <c r="H58" s="7"/>
      <c r="I58" s="7"/>
      <c r="J58" s="58">
        <v>161.80000000000001</v>
      </c>
      <c r="K58" s="58">
        <f>J58/12</f>
        <v>13.483333333333334</v>
      </c>
      <c r="L58" s="7"/>
    </row>
    <row r="59" spans="1:12" ht="15.75" x14ac:dyDescent="0.25">
      <c r="A59" s="7" t="s">
        <v>41</v>
      </c>
      <c r="B59" s="7"/>
      <c r="C59" s="7" t="s">
        <v>40</v>
      </c>
      <c r="D59" s="7"/>
      <c r="E59" s="7"/>
      <c r="F59" s="7"/>
      <c r="G59" s="7"/>
      <c r="H59" s="7"/>
      <c r="I59" s="7"/>
      <c r="J59" s="58">
        <v>0</v>
      </c>
      <c r="K59" s="58">
        <f>J59/12</f>
        <v>0</v>
      </c>
      <c r="L59" s="7"/>
    </row>
    <row r="60" spans="1:12" ht="15.75" x14ac:dyDescent="0.25">
      <c r="A60" s="7" t="s">
        <v>57</v>
      </c>
      <c r="B60" s="7"/>
      <c r="C60" s="193" t="s">
        <v>58</v>
      </c>
      <c r="D60" s="193"/>
      <c r="E60" s="193"/>
      <c r="F60" s="193"/>
      <c r="G60" s="193"/>
      <c r="H60" s="7"/>
      <c r="I60" s="7"/>
      <c r="J60" s="58">
        <f>Insumos!$B$8</f>
        <v>350.88</v>
      </c>
      <c r="K60" s="58">
        <f>4*J60</f>
        <v>1403.52</v>
      </c>
      <c r="L60" s="7"/>
    </row>
    <row r="61" spans="1:12" ht="15.75" x14ac:dyDescent="0.25">
      <c r="A61" s="7" t="s">
        <v>60</v>
      </c>
      <c r="B61" s="7"/>
      <c r="C61" s="45" t="s">
        <v>63</v>
      </c>
      <c r="D61" s="45"/>
      <c r="E61" s="45"/>
      <c r="F61" s="45"/>
      <c r="G61" s="45"/>
      <c r="H61" s="7"/>
      <c r="I61" s="7"/>
      <c r="J61" s="58">
        <f>Insumos!$B$9</f>
        <v>2680.95</v>
      </c>
      <c r="K61" s="58">
        <f>J61/12</f>
        <v>223.41249999999999</v>
      </c>
      <c r="L61" s="7"/>
    </row>
    <row r="62" spans="1:12" ht="15.75" x14ac:dyDescent="0.25">
      <c r="A62" s="7" t="s">
        <v>61</v>
      </c>
      <c r="B62" s="7"/>
      <c r="C62" s="193" t="s">
        <v>62</v>
      </c>
      <c r="D62" s="193"/>
      <c r="E62" s="193"/>
      <c r="F62" s="45"/>
      <c r="G62" s="45"/>
      <c r="H62" s="7"/>
      <c r="I62" s="7"/>
      <c r="J62" s="60">
        <f>Insumos!$B$10</f>
        <v>932.23</v>
      </c>
      <c r="K62" s="58">
        <f>J62/12</f>
        <v>77.685833333333335</v>
      </c>
      <c r="L62" s="7"/>
    </row>
    <row r="63" spans="1:12" ht="15.75" x14ac:dyDescent="0.25">
      <c r="A63" s="7" t="s">
        <v>142</v>
      </c>
      <c r="B63" s="7"/>
      <c r="C63" s="203" t="s">
        <v>143</v>
      </c>
      <c r="D63" s="203"/>
      <c r="E63" s="203"/>
      <c r="F63" s="203"/>
      <c r="G63" s="164"/>
      <c r="H63" s="7"/>
      <c r="I63" s="7"/>
      <c r="J63" s="60">
        <f>Insumos!$B$11</f>
        <v>471.82</v>
      </c>
      <c r="K63" s="72">
        <f>J63/24</f>
        <v>19.659166666666668</v>
      </c>
      <c r="L63" s="7"/>
    </row>
    <row r="64" spans="1:12" ht="15.75" x14ac:dyDescent="0.25">
      <c r="A64" s="7" t="s">
        <v>340</v>
      </c>
      <c r="B64" s="7"/>
      <c r="C64" s="165" t="s">
        <v>343</v>
      </c>
      <c r="D64" s="165"/>
      <c r="E64" s="165"/>
      <c r="F64" s="165"/>
      <c r="G64" s="164"/>
      <c r="H64" s="7"/>
      <c r="I64" s="7"/>
      <c r="J64" s="60">
        <f>Insumos!$B$12</f>
        <v>14.372399999999997</v>
      </c>
      <c r="K64" s="72">
        <f>J64/60</f>
        <v>0.23953999999999995</v>
      </c>
      <c r="L64" s="7"/>
    </row>
    <row r="65" spans="1:13" ht="20.25" customHeight="1" x14ac:dyDescent="0.25">
      <c r="A65" s="259" t="s">
        <v>43</v>
      </c>
      <c r="B65" s="260"/>
      <c r="C65" s="260"/>
      <c r="D65" s="260"/>
      <c r="E65" s="260"/>
      <c r="F65" s="260"/>
      <c r="G65" s="260"/>
      <c r="H65" s="260"/>
      <c r="I65" s="260"/>
      <c r="J65" s="261"/>
      <c r="K65" s="67">
        <f>SUM(K51:K64)</f>
        <v>19136.944978202664</v>
      </c>
      <c r="L65" s="57" t="s">
        <v>16</v>
      </c>
      <c r="M65" s="4"/>
    </row>
    <row r="67" spans="1:13" ht="19.5" customHeight="1" x14ac:dyDescent="0.3">
      <c r="A67" s="262" t="s">
        <v>132</v>
      </c>
      <c r="B67" s="263"/>
      <c r="C67" s="263"/>
      <c r="D67" s="263"/>
      <c r="E67" s="263"/>
      <c r="F67" s="263"/>
      <c r="G67" s="263"/>
      <c r="H67" s="263"/>
      <c r="I67" s="264"/>
      <c r="K67" s="66">
        <f>K47+K65</f>
        <v>23659.921684193127</v>
      </c>
    </row>
    <row r="69" spans="1:13" ht="15.75" x14ac:dyDescent="0.25">
      <c r="A69" s="254" t="s">
        <v>133</v>
      </c>
      <c r="B69" s="255"/>
      <c r="C69" s="255"/>
      <c r="D69" s="255"/>
      <c r="E69" s="256"/>
      <c r="I69" s="265" t="s">
        <v>55</v>
      </c>
      <c r="J69" s="266"/>
    </row>
    <row r="70" spans="1:13" ht="15.75" x14ac:dyDescent="0.25">
      <c r="A70" s="7" t="s">
        <v>341</v>
      </c>
      <c r="B70" s="7"/>
      <c r="C70" s="193" t="s">
        <v>54</v>
      </c>
      <c r="D70" s="193"/>
      <c r="E70" s="193"/>
      <c r="F70" s="193"/>
      <c r="G70" s="7"/>
      <c r="H70" s="7"/>
      <c r="I70" s="168">
        <f>Insumos!$B$15</f>
        <v>2.6599999999999999E-2</v>
      </c>
      <c r="J70" s="7"/>
      <c r="K70" s="58">
        <f>I70*K67</f>
        <v>629.35391679953716</v>
      </c>
      <c r="L70" s="7"/>
    </row>
    <row r="71" spans="1:13" ht="15.75" x14ac:dyDescent="0.25">
      <c r="A71" s="7" t="s">
        <v>342</v>
      </c>
      <c r="B71" s="7"/>
      <c r="C71" s="193" t="s">
        <v>59</v>
      </c>
      <c r="D71" s="193"/>
      <c r="E71" s="193"/>
      <c r="F71" s="193"/>
      <c r="G71" s="7"/>
      <c r="H71" s="7"/>
      <c r="I71" s="169">
        <f>Insumos!$B$16</f>
        <v>0.04</v>
      </c>
      <c r="J71" s="7"/>
      <c r="K71" s="58">
        <f>I71*(K67+K70)</f>
        <v>971.57102403970657</v>
      </c>
      <c r="L71" s="7"/>
    </row>
    <row r="72" spans="1:13" ht="18.75" x14ac:dyDescent="0.3">
      <c r="A72" s="7"/>
      <c r="B72" s="7"/>
      <c r="C72" s="7"/>
      <c r="D72" s="7"/>
      <c r="E72" s="7"/>
      <c r="F72" s="7"/>
      <c r="G72" s="7"/>
      <c r="H72" s="7"/>
      <c r="I72" s="7"/>
      <c r="J72" s="61" t="s">
        <v>131</v>
      </c>
      <c r="K72" s="65">
        <f>SUM(K70:K71)</f>
        <v>1600.9249408392438</v>
      </c>
      <c r="L72" s="54" t="s">
        <v>16</v>
      </c>
    </row>
    <row r="74" spans="1:13" ht="15.75" x14ac:dyDescent="0.25">
      <c r="A74" s="254" t="s">
        <v>134</v>
      </c>
      <c r="B74" s="255"/>
      <c r="C74" s="255"/>
      <c r="D74" s="255"/>
      <c r="E74" s="256"/>
      <c r="F74" s="7"/>
      <c r="G74" s="7"/>
      <c r="H74" s="7"/>
      <c r="I74" s="7"/>
      <c r="J74" s="7"/>
      <c r="K74" s="7"/>
      <c r="L74" s="7"/>
    </row>
    <row r="75" spans="1:13" ht="15.75" x14ac:dyDescent="0.25">
      <c r="A75" s="193" t="s">
        <v>42</v>
      </c>
      <c r="B75" s="193"/>
      <c r="C75" s="193"/>
      <c r="D75" s="193"/>
      <c r="E75" s="193"/>
      <c r="F75" s="193"/>
      <c r="G75" s="7"/>
      <c r="H75" s="7"/>
      <c r="I75" s="219" t="s">
        <v>47</v>
      </c>
      <c r="J75" s="220"/>
      <c r="K75" s="51">
        <f>K67+K72</f>
        <v>25260.846625032369</v>
      </c>
      <c r="L75" s="7"/>
    </row>
    <row r="76" spans="1:13" ht="15.75" x14ac:dyDescent="0.25">
      <c r="A76" s="7" t="s">
        <v>53</v>
      </c>
      <c r="C76" s="7" t="s">
        <v>44</v>
      </c>
      <c r="D76" s="7"/>
      <c r="E76" s="7"/>
      <c r="F76" s="7"/>
      <c r="G76" s="7"/>
      <c r="H76" s="7"/>
      <c r="I76" s="257">
        <f>Insumos!$B$18</f>
        <v>0.05</v>
      </c>
      <c r="J76" s="258"/>
      <c r="K76" s="51">
        <f>$K$75/(1-(SUM($I$76:$J$78)))*I76</f>
        <v>1382.6407567067527</v>
      </c>
      <c r="L76" s="7"/>
    </row>
    <row r="77" spans="1:13" ht="15.75" x14ac:dyDescent="0.25">
      <c r="A77" s="7" t="s">
        <v>344</v>
      </c>
      <c r="C77" s="7" t="s">
        <v>45</v>
      </c>
      <c r="D77" s="7"/>
      <c r="E77" s="7"/>
      <c r="F77" s="7"/>
      <c r="G77" s="7"/>
      <c r="H77" s="7"/>
      <c r="I77" s="257">
        <f>Insumos!$B$19</f>
        <v>6.4999999999999997E-3</v>
      </c>
      <c r="J77" s="258"/>
      <c r="K77" s="51">
        <f>$K$75/(1-(SUM($I$76:$J$78)))*I77</f>
        <v>179.74329837187784</v>
      </c>
      <c r="L77" s="7"/>
    </row>
    <row r="78" spans="1:13" ht="15.75" x14ac:dyDescent="0.25">
      <c r="A78" s="7" t="s">
        <v>345</v>
      </c>
      <c r="C78" s="7" t="s">
        <v>46</v>
      </c>
      <c r="D78" s="7"/>
      <c r="E78" s="7"/>
      <c r="F78" s="7"/>
      <c r="G78" s="7"/>
      <c r="H78" s="7"/>
      <c r="I78" s="257">
        <f>Insumos!$B$20</f>
        <v>0.03</v>
      </c>
      <c r="J78" s="258"/>
      <c r="K78" s="51">
        <f>$K$75/(1-(SUM($I$76:$J$78)))*I78</f>
        <v>829.58445402405152</v>
      </c>
      <c r="L78" s="7"/>
    </row>
    <row r="79" spans="1:13" ht="21" customHeight="1" x14ac:dyDescent="0.3">
      <c r="A79" s="251" t="s">
        <v>48</v>
      </c>
      <c r="B79" s="252"/>
      <c r="C79" s="252"/>
      <c r="D79" s="252"/>
      <c r="E79" s="252"/>
      <c r="F79" s="252"/>
      <c r="G79" s="252"/>
      <c r="H79" s="252"/>
      <c r="I79" s="252"/>
      <c r="J79" s="253"/>
      <c r="K79" s="64">
        <f>SUM(K76:K78)</f>
        <v>2391.9685091026822</v>
      </c>
      <c r="L79" s="54" t="s">
        <v>16</v>
      </c>
    </row>
    <row r="81" spans="1:20" x14ac:dyDescent="0.25">
      <c r="C81" s="5"/>
      <c r="D81" s="5"/>
      <c r="E81" s="5"/>
      <c r="F81" s="5"/>
      <c r="K81" s="2"/>
    </row>
    <row r="82" spans="1:20" ht="15.75" x14ac:dyDescent="0.25">
      <c r="A82" s="191" t="s">
        <v>56</v>
      </c>
      <c r="B82" s="191"/>
      <c r="C82" s="191"/>
      <c r="D82" s="191"/>
      <c r="E82" s="191"/>
      <c r="F82" s="191"/>
      <c r="G82" s="191"/>
      <c r="H82" s="191"/>
      <c r="I82" s="191"/>
      <c r="T82" s="43"/>
    </row>
    <row r="83" spans="1:20" ht="15.75" x14ac:dyDescent="0.25">
      <c r="A83" s="6"/>
      <c r="B83" s="6"/>
      <c r="C83" s="6"/>
      <c r="D83" s="6"/>
      <c r="E83" s="6"/>
      <c r="F83" s="6"/>
      <c r="G83" s="6"/>
      <c r="H83" s="6"/>
      <c r="I83" s="6"/>
    </row>
    <row r="84" spans="1:20" ht="15.75" x14ac:dyDescent="0.25">
      <c r="A84" s="191" t="s">
        <v>51</v>
      </c>
      <c r="B84" s="192"/>
      <c r="C84" s="192"/>
      <c r="D84" s="192"/>
      <c r="E84" s="192"/>
      <c r="F84" s="192"/>
      <c r="G84" s="192"/>
      <c r="H84" s="192"/>
    </row>
    <row r="85" spans="1:20" ht="20.25" customHeight="1" x14ac:dyDescent="0.3">
      <c r="A85" s="193" t="s">
        <v>135</v>
      </c>
      <c r="B85" s="193"/>
      <c r="C85" s="193"/>
      <c r="D85" s="193"/>
      <c r="E85" s="193"/>
      <c r="F85" s="193"/>
      <c r="G85" s="193"/>
      <c r="H85" s="193"/>
      <c r="I85" s="193"/>
      <c r="J85" s="193"/>
      <c r="K85" s="62">
        <f>K67+K72+K79</f>
        <v>27652.815134135053</v>
      </c>
    </row>
    <row r="86" spans="1:20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2"/>
    </row>
    <row r="87" spans="1:20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2"/>
      <c r="P87" s="42"/>
    </row>
    <row r="88" spans="1:20" ht="8.25" customHeight="1" x14ac:dyDescent="0.25"/>
    <row r="89" spans="1:20" ht="16.5" customHeight="1" x14ac:dyDescent="0.25">
      <c r="A89" s="194" t="s">
        <v>49</v>
      </c>
      <c r="B89" s="195"/>
      <c r="C89" s="195"/>
      <c r="D89" s="195"/>
      <c r="E89" s="195"/>
      <c r="F89" s="195"/>
      <c r="G89" s="195"/>
      <c r="H89" s="195"/>
      <c r="I89" s="195"/>
      <c r="J89" s="195"/>
      <c r="K89" s="7"/>
      <c r="L89" s="7"/>
    </row>
    <row r="90" spans="1:20" ht="24.75" customHeight="1" x14ac:dyDescent="0.3">
      <c r="A90" s="196" t="s">
        <v>141</v>
      </c>
      <c r="B90" s="196"/>
      <c r="C90" s="196"/>
      <c r="D90" s="196"/>
      <c r="E90" s="196"/>
      <c r="F90" s="196"/>
      <c r="G90" s="196"/>
      <c r="H90" s="196"/>
      <c r="I90" s="196"/>
      <c r="J90" s="196"/>
      <c r="K90" s="71">
        <f>K85/O18</f>
        <v>32.80519981746631</v>
      </c>
      <c r="L90" s="63" t="s">
        <v>50</v>
      </c>
    </row>
    <row r="94" spans="1:20" s="10" customFormat="1" x14ac:dyDescent="0.25"/>
    <row r="95" spans="1:20" s="11" customFormat="1" ht="18.75" x14ac:dyDescent="0.3">
      <c r="B95" s="12" t="s">
        <v>69</v>
      </c>
      <c r="D95" s="188" t="s">
        <v>65</v>
      </c>
      <c r="E95" s="188"/>
      <c r="L95" s="12" t="s">
        <v>69</v>
      </c>
      <c r="M95" s="12"/>
      <c r="N95" s="12" t="s">
        <v>75</v>
      </c>
      <c r="O95" s="12"/>
    </row>
    <row r="96" spans="1:20" s="11" customFormat="1" x14ac:dyDescent="0.25"/>
    <row r="97" spans="2:18" s="11" customFormat="1" x14ac:dyDescent="0.25">
      <c r="B97" s="184" t="s">
        <v>66</v>
      </c>
      <c r="C97" s="184"/>
      <c r="D97" s="13"/>
      <c r="E97" s="13"/>
      <c r="F97" s="189">
        <v>288912</v>
      </c>
      <c r="G97" s="189"/>
      <c r="L97" s="13" t="s">
        <v>66</v>
      </c>
      <c r="M97" s="13"/>
      <c r="N97" s="13"/>
      <c r="O97" s="13"/>
      <c r="P97" s="13"/>
      <c r="Q97" s="30">
        <v>271500</v>
      </c>
    </row>
    <row r="98" spans="2:18" s="11" customFormat="1" x14ac:dyDescent="0.25">
      <c r="B98" s="13" t="s">
        <v>67</v>
      </c>
      <c r="D98" s="13"/>
      <c r="E98" s="13"/>
      <c r="F98" s="185">
        <v>10</v>
      </c>
      <c r="G98" s="185"/>
      <c r="H98" s="11" t="s">
        <v>154</v>
      </c>
      <c r="L98" s="13" t="s">
        <v>67</v>
      </c>
      <c r="M98" s="13"/>
      <c r="N98" s="13"/>
      <c r="O98" s="13"/>
      <c r="P98" s="13"/>
      <c r="Q98" s="13">
        <v>10</v>
      </c>
      <c r="R98" s="11" t="s">
        <v>154</v>
      </c>
    </row>
    <row r="99" spans="2:18" s="11" customFormat="1" x14ac:dyDescent="0.25">
      <c r="B99" s="13" t="s">
        <v>81</v>
      </c>
      <c r="D99" s="13"/>
      <c r="E99" s="13"/>
      <c r="F99" s="14"/>
      <c r="G99" s="14">
        <v>2018</v>
      </c>
      <c r="L99" s="13" t="s">
        <v>81</v>
      </c>
      <c r="N99" s="13"/>
      <c r="O99" s="13"/>
      <c r="P99" s="14"/>
      <c r="Q99" s="14">
        <v>2018</v>
      </c>
    </row>
    <row r="100" spans="2:18" s="11" customFormat="1" x14ac:dyDescent="0.25">
      <c r="B100" s="184" t="s">
        <v>68</v>
      </c>
      <c r="C100" s="184"/>
      <c r="D100" s="184"/>
      <c r="F100" s="185">
        <v>6</v>
      </c>
      <c r="G100" s="185"/>
      <c r="L100" s="13" t="s">
        <v>76</v>
      </c>
      <c r="M100" s="13"/>
      <c r="N100" s="13"/>
      <c r="O100" s="13"/>
      <c r="P100" s="13"/>
      <c r="Q100" s="13">
        <v>6</v>
      </c>
    </row>
    <row r="101" spans="2:18" s="11" customFormat="1" x14ac:dyDescent="0.25">
      <c r="B101" s="184" t="s">
        <v>71</v>
      </c>
      <c r="C101" s="184"/>
      <c r="D101" s="184"/>
      <c r="F101" s="14"/>
      <c r="G101" s="17">
        <v>100000</v>
      </c>
      <c r="L101" s="13" t="s">
        <v>71</v>
      </c>
      <c r="M101" s="13"/>
      <c r="N101" s="13"/>
      <c r="O101" s="13"/>
      <c r="P101" s="13"/>
      <c r="Q101" s="19">
        <v>100000</v>
      </c>
    </row>
    <row r="102" spans="2:18" s="11" customFormat="1" x14ac:dyDescent="0.25">
      <c r="B102" s="184" t="s">
        <v>72</v>
      </c>
      <c r="C102" s="184"/>
      <c r="D102" s="184"/>
      <c r="F102" s="14"/>
      <c r="G102" s="20">
        <v>1533.77</v>
      </c>
      <c r="L102" s="13" t="s">
        <v>72</v>
      </c>
      <c r="M102" s="13"/>
      <c r="N102" s="13"/>
      <c r="O102" s="13"/>
      <c r="P102" s="13"/>
      <c r="Q102" s="69">
        <v>860.69</v>
      </c>
    </row>
    <row r="103" spans="2:18" s="11" customFormat="1" x14ac:dyDescent="0.25">
      <c r="B103" s="184" t="s">
        <v>73</v>
      </c>
      <c r="C103" s="184"/>
      <c r="D103" s="15"/>
      <c r="F103" s="14"/>
      <c r="G103" s="14">
        <v>2.6</v>
      </c>
      <c r="H103" s="13" t="s">
        <v>74</v>
      </c>
      <c r="L103" s="13" t="s">
        <v>73</v>
      </c>
      <c r="M103" s="13"/>
      <c r="N103" s="13"/>
      <c r="O103" s="13"/>
      <c r="P103" s="13"/>
      <c r="Q103" s="13">
        <v>4.7</v>
      </c>
    </row>
    <row r="104" spans="2:18" s="11" customFormat="1" x14ac:dyDescent="0.25">
      <c r="B104" s="184" t="s">
        <v>70</v>
      </c>
      <c r="C104" s="184"/>
      <c r="D104" s="184"/>
      <c r="F104" s="185" t="s">
        <v>125</v>
      </c>
      <c r="G104" s="185"/>
      <c r="L104" s="13" t="s">
        <v>70</v>
      </c>
      <c r="M104" s="13"/>
      <c r="N104" s="13"/>
      <c r="O104" s="13"/>
      <c r="P104" s="13"/>
      <c r="Q104" s="13" t="s">
        <v>124</v>
      </c>
    </row>
    <row r="105" spans="2:18" s="11" customFormat="1" x14ac:dyDescent="0.25"/>
    <row r="106" spans="2:18" s="11" customFormat="1" x14ac:dyDescent="0.25"/>
    <row r="107" spans="2:18" s="11" customFormat="1" ht="18.75" x14ac:dyDescent="0.3">
      <c r="B107" s="12" t="s">
        <v>69</v>
      </c>
      <c r="C107" s="12"/>
      <c r="D107" s="12" t="s">
        <v>77</v>
      </c>
      <c r="E107" s="13"/>
      <c r="F107" s="13"/>
      <c r="G107" s="13"/>
      <c r="H107" s="13"/>
      <c r="L107" s="12" t="s">
        <v>69</v>
      </c>
      <c r="M107" s="16"/>
      <c r="N107" s="16"/>
      <c r="O107" s="12" t="s">
        <v>78</v>
      </c>
    </row>
    <row r="108" spans="2:18" s="11" customFormat="1" x14ac:dyDescent="0.25">
      <c r="B108" s="13"/>
      <c r="C108" s="13"/>
      <c r="D108" s="13"/>
      <c r="E108" s="13"/>
      <c r="F108" s="13"/>
      <c r="G108" s="13"/>
      <c r="H108" s="13"/>
    </row>
    <row r="109" spans="2:18" s="11" customFormat="1" x14ac:dyDescent="0.25">
      <c r="B109" s="184" t="s">
        <v>66</v>
      </c>
      <c r="C109" s="184"/>
      <c r="D109" s="13"/>
      <c r="E109" s="13"/>
      <c r="F109" s="185">
        <v>400</v>
      </c>
      <c r="G109" s="185"/>
      <c r="H109" s="13"/>
      <c r="L109" s="184" t="s">
        <v>66</v>
      </c>
      <c r="M109" s="184"/>
      <c r="N109" s="13"/>
      <c r="O109" s="13"/>
      <c r="P109" s="185" t="s">
        <v>78</v>
      </c>
      <c r="Q109" s="185"/>
      <c r="R109" s="13"/>
    </row>
    <row r="110" spans="2:18" s="11" customFormat="1" x14ac:dyDescent="0.25">
      <c r="B110" s="13" t="s">
        <v>67</v>
      </c>
      <c r="C110" s="13"/>
      <c r="D110" s="13"/>
      <c r="E110" s="13"/>
      <c r="F110" s="185">
        <v>10</v>
      </c>
      <c r="G110" s="185"/>
      <c r="H110" s="13" t="s">
        <v>154</v>
      </c>
      <c r="L110" s="13" t="s">
        <v>67</v>
      </c>
      <c r="M110" s="13"/>
      <c r="N110" s="13"/>
      <c r="O110" s="13"/>
      <c r="P110" s="185">
        <v>8</v>
      </c>
      <c r="Q110" s="185"/>
      <c r="R110" s="13" t="s">
        <v>154</v>
      </c>
    </row>
    <row r="111" spans="2:18" s="11" customFormat="1" x14ac:dyDescent="0.25">
      <c r="B111" s="13" t="s">
        <v>81</v>
      </c>
      <c r="D111" s="13"/>
      <c r="E111" s="13"/>
      <c r="F111" s="14"/>
      <c r="G111" s="14" t="s">
        <v>82</v>
      </c>
      <c r="L111" s="13" t="s">
        <v>81</v>
      </c>
      <c r="N111" s="13"/>
      <c r="O111" s="13"/>
      <c r="P111" s="14"/>
      <c r="Q111" s="14" t="s">
        <v>83</v>
      </c>
      <c r="R111" s="13"/>
    </row>
    <row r="112" spans="2:18" s="11" customFormat="1" x14ac:dyDescent="0.25">
      <c r="B112" s="184" t="s">
        <v>68</v>
      </c>
      <c r="C112" s="184"/>
      <c r="D112" s="184"/>
      <c r="E112" s="13"/>
      <c r="F112" s="185" t="s">
        <v>87</v>
      </c>
      <c r="G112" s="185"/>
      <c r="H112" s="13"/>
      <c r="L112" s="184" t="s">
        <v>68</v>
      </c>
      <c r="M112" s="184"/>
      <c r="N112" s="184"/>
      <c r="O112" s="13"/>
      <c r="P112" s="185" t="s">
        <v>88</v>
      </c>
      <c r="Q112" s="185"/>
      <c r="R112" s="13"/>
    </row>
    <row r="113" spans="2:21" s="11" customFormat="1" x14ac:dyDescent="0.25">
      <c r="B113" s="184" t="s">
        <v>71</v>
      </c>
      <c r="C113" s="184"/>
      <c r="D113" s="184"/>
      <c r="E113" s="13"/>
      <c r="F113" s="14"/>
      <c r="G113" s="14" t="s">
        <v>89</v>
      </c>
      <c r="H113" s="13"/>
      <c r="L113" s="184" t="s">
        <v>71</v>
      </c>
      <c r="M113" s="184"/>
      <c r="N113" s="184"/>
      <c r="O113" s="13"/>
      <c r="P113" s="14"/>
      <c r="Q113" s="14" t="s">
        <v>90</v>
      </c>
      <c r="R113" s="13"/>
    </row>
    <row r="114" spans="2:21" s="11" customFormat="1" x14ac:dyDescent="0.25">
      <c r="B114" s="184" t="s">
        <v>72</v>
      </c>
      <c r="C114" s="184"/>
      <c r="D114" s="184"/>
      <c r="E114" s="13"/>
      <c r="F114" s="14"/>
      <c r="G114" s="14">
        <v>400</v>
      </c>
      <c r="H114" s="13"/>
      <c r="L114" s="184" t="s">
        <v>72</v>
      </c>
      <c r="M114" s="184"/>
      <c r="N114" s="184"/>
      <c r="O114" s="13"/>
      <c r="P114" s="14"/>
      <c r="Q114" s="14">
        <v>4444</v>
      </c>
      <c r="R114" s="13"/>
    </row>
    <row r="115" spans="2:21" s="11" customFormat="1" x14ac:dyDescent="0.25">
      <c r="B115" s="184" t="s">
        <v>73</v>
      </c>
      <c r="C115" s="184"/>
      <c r="D115" s="15"/>
      <c r="E115" s="13"/>
      <c r="F115" s="14"/>
      <c r="G115" s="14">
        <v>2</v>
      </c>
      <c r="H115" s="13" t="s">
        <v>74</v>
      </c>
      <c r="L115" s="184" t="s">
        <v>73</v>
      </c>
      <c r="M115" s="184"/>
      <c r="N115" s="15"/>
      <c r="O115" s="13"/>
      <c r="P115" s="14"/>
      <c r="Q115" s="14">
        <v>4</v>
      </c>
      <c r="R115" s="13" t="s">
        <v>74</v>
      </c>
    </row>
    <row r="116" spans="2:21" s="11" customFormat="1" x14ac:dyDescent="0.25">
      <c r="B116" s="184" t="s">
        <v>70</v>
      </c>
      <c r="C116" s="184"/>
      <c r="D116" s="184"/>
      <c r="E116" s="13"/>
      <c r="F116" s="185" t="s">
        <v>85</v>
      </c>
      <c r="G116" s="185"/>
      <c r="H116" s="13"/>
      <c r="L116" s="184" t="s">
        <v>70</v>
      </c>
      <c r="M116" s="184"/>
      <c r="N116" s="184"/>
      <c r="O116" s="13"/>
      <c r="P116" s="185" t="s">
        <v>86</v>
      </c>
      <c r="Q116" s="185"/>
      <c r="R116" s="13"/>
    </row>
    <row r="117" spans="2:21" s="11" customFormat="1" x14ac:dyDescent="0.25"/>
    <row r="118" spans="2:21" s="11" customFormat="1" x14ac:dyDescent="0.25"/>
    <row r="119" spans="2:21" s="11" customFormat="1" ht="18.75" x14ac:dyDescent="0.3">
      <c r="Q119" s="12" t="s">
        <v>65</v>
      </c>
      <c r="R119" s="12"/>
      <c r="T119" s="13" t="s">
        <v>130</v>
      </c>
      <c r="U119" s="13"/>
    </row>
    <row r="120" spans="2:21" s="11" customFormat="1" ht="18.75" x14ac:dyDescent="0.3">
      <c r="Q120" s="12" t="s">
        <v>75</v>
      </c>
      <c r="T120" s="13" t="s">
        <v>129</v>
      </c>
      <c r="U120" s="13"/>
    </row>
    <row r="121" spans="2:21" s="11" customFormat="1" ht="18.75" x14ac:dyDescent="0.3">
      <c r="Q121" s="12" t="s">
        <v>77</v>
      </c>
    </row>
    <row r="122" spans="2:21" s="11" customFormat="1" ht="18" customHeight="1" x14ac:dyDescent="0.3">
      <c r="B122" s="186" t="s">
        <v>172</v>
      </c>
      <c r="C122" s="186"/>
      <c r="Q122" s="12" t="s">
        <v>78</v>
      </c>
    </row>
    <row r="123" spans="2:21" ht="0.75" hidden="1" customHeight="1" x14ac:dyDescent="0.25">
      <c r="B123" s="186"/>
      <c r="C123" s="186"/>
    </row>
    <row r="124" spans="2:21" hidden="1" x14ac:dyDescent="0.25">
      <c r="B124" s="186"/>
      <c r="C124" s="186"/>
    </row>
    <row r="125" spans="2:21" x14ac:dyDescent="0.25">
      <c r="B125" s="186"/>
      <c r="C125" s="186"/>
    </row>
    <row r="126" spans="2:21" ht="24.75" x14ac:dyDescent="0.25">
      <c r="B126" s="94" t="s">
        <v>173</v>
      </c>
      <c r="C126" s="9" t="s">
        <v>174</v>
      </c>
      <c r="D126" s="9"/>
      <c r="E126" s="9"/>
      <c r="F126" s="9" t="s">
        <v>175</v>
      </c>
      <c r="G126" s="9"/>
      <c r="H126" s="9"/>
      <c r="I126" s="9" t="s">
        <v>176</v>
      </c>
      <c r="J126" s="9"/>
      <c r="K126" s="9"/>
      <c r="L126" s="9" t="s">
        <v>177</v>
      </c>
      <c r="M126" s="9"/>
      <c r="N126" s="9"/>
    </row>
    <row r="127" spans="2:21" x14ac:dyDescent="0.25">
      <c r="B127" s="5">
        <v>40</v>
      </c>
      <c r="C127" s="2">
        <f>$K$42*(B127*21)</f>
        <v>4049.0369329846144</v>
      </c>
      <c r="F127" s="2">
        <f>(C127+$K$65)*0.05</f>
        <v>1159.2990955593639</v>
      </c>
      <c r="I127" s="2">
        <f>(C127+$K$65+F127)*6%</f>
        <v>1460.7168604047984</v>
      </c>
      <c r="L127" s="31">
        <f>(C127+$K$65+F127+I127)*14.25%</f>
        <v>3677.3546960690801</v>
      </c>
      <c r="M127" s="9"/>
      <c r="N127" s="9"/>
    </row>
    <row r="128" spans="2:21" x14ac:dyDescent="0.25">
      <c r="B128" s="5">
        <v>50</v>
      </c>
      <c r="C128" s="2">
        <f t="shared" ref="C128:C139" si="0">$K$42*(B128*21)</f>
        <v>5061.296166230768</v>
      </c>
      <c r="F128" s="2">
        <f t="shared" ref="F128:F139" si="1">(C128+$K$65)*0.05</f>
        <v>1209.9120572216716</v>
      </c>
      <c r="I128" s="2">
        <f t="shared" ref="I128:I139" si="2">(C128+$K$65+F128)*6%</f>
        <v>1524.4891920993061</v>
      </c>
      <c r="L128" s="31">
        <f t="shared" ref="L128:L139" si="3">(C128+$K$65+F128+I128)*14.25%</f>
        <v>3837.9015411100031</v>
      </c>
      <c r="M128" s="9"/>
      <c r="N128" s="9"/>
    </row>
    <row r="129" spans="2:14" x14ac:dyDescent="0.25">
      <c r="B129" s="5">
        <v>60</v>
      </c>
      <c r="C129" s="2">
        <f t="shared" si="0"/>
        <v>6073.5553994769216</v>
      </c>
      <c r="F129" s="2">
        <f t="shared" si="1"/>
        <v>1260.5250188839793</v>
      </c>
      <c r="I129" s="2">
        <f t="shared" si="2"/>
        <v>1588.2615237938137</v>
      </c>
      <c r="L129" s="31">
        <f t="shared" si="3"/>
        <v>3998.4483861509261</v>
      </c>
      <c r="M129" s="9"/>
      <c r="N129" s="9"/>
    </row>
    <row r="130" spans="2:14" x14ac:dyDescent="0.25">
      <c r="B130" s="5">
        <v>70</v>
      </c>
      <c r="C130" s="2">
        <f t="shared" si="0"/>
        <v>7085.8146327230752</v>
      </c>
      <c r="F130" s="2">
        <f t="shared" si="1"/>
        <v>1311.1379805462871</v>
      </c>
      <c r="I130" s="2">
        <f t="shared" si="2"/>
        <v>1652.0338554883215</v>
      </c>
      <c r="L130" s="31">
        <f t="shared" si="3"/>
        <v>4158.9952311918487</v>
      </c>
      <c r="M130" s="9"/>
      <c r="N130" s="9"/>
    </row>
    <row r="131" spans="2:14" x14ac:dyDescent="0.25">
      <c r="B131" s="5">
        <v>80</v>
      </c>
      <c r="C131" s="2">
        <f t="shared" si="0"/>
        <v>8098.0738659692288</v>
      </c>
      <c r="F131" s="2">
        <f t="shared" si="1"/>
        <v>1361.7509422085948</v>
      </c>
      <c r="I131" s="2">
        <f t="shared" si="2"/>
        <v>1715.806187182829</v>
      </c>
      <c r="L131" s="31">
        <f t="shared" si="3"/>
        <v>4319.5420762327722</v>
      </c>
      <c r="M131" s="9"/>
      <c r="N131" s="9"/>
    </row>
    <row r="132" spans="2:14" x14ac:dyDescent="0.25">
      <c r="B132" s="5">
        <v>90</v>
      </c>
      <c r="C132" s="2">
        <f t="shared" si="0"/>
        <v>9110.3330992153824</v>
      </c>
      <c r="F132" s="2">
        <f t="shared" si="1"/>
        <v>1412.3639038709025</v>
      </c>
      <c r="I132" s="2">
        <f t="shared" si="2"/>
        <v>1779.578518877337</v>
      </c>
      <c r="L132" s="31">
        <f t="shared" si="3"/>
        <v>4480.0889212736956</v>
      </c>
      <c r="M132" s="9"/>
      <c r="N132" s="9"/>
    </row>
    <row r="133" spans="2:14" x14ac:dyDescent="0.25">
      <c r="B133" s="5">
        <v>100</v>
      </c>
      <c r="C133" s="2">
        <f t="shared" si="0"/>
        <v>10122.592332461536</v>
      </c>
      <c r="F133" s="2">
        <f t="shared" si="1"/>
        <v>1462.97686553321</v>
      </c>
      <c r="I133" s="2">
        <f t="shared" si="2"/>
        <v>1843.3508505718444</v>
      </c>
      <c r="L133" s="31">
        <f t="shared" si="3"/>
        <v>4640.6357663146182</v>
      </c>
      <c r="M133" s="9"/>
      <c r="N133" s="9"/>
    </row>
    <row r="134" spans="2:14" x14ac:dyDescent="0.25">
      <c r="B134" s="5">
        <v>110</v>
      </c>
      <c r="C134" s="2">
        <f t="shared" si="0"/>
        <v>11134.85156570769</v>
      </c>
      <c r="F134" s="2">
        <f t="shared" si="1"/>
        <v>1513.5898271955177</v>
      </c>
      <c r="I134" s="2">
        <f t="shared" si="2"/>
        <v>1907.1231822663524</v>
      </c>
      <c r="L134" s="31">
        <f t="shared" si="3"/>
        <v>4801.1826113555417</v>
      </c>
      <c r="M134" s="9"/>
      <c r="N134" s="9"/>
    </row>
    <row r="135" spans="2:14" x14ac:dyDescent="0.25">
      <c r="B135" s="5">
        <v>120</v>
      </c>
      <c r="C135" s="2">
        <f t="shared" si="0"/>
        <v>12147.110798953843</v>
      </c>
      <c r="F135" s="2">
        <f t="shared" si="1"/>
        <v>1564.2027888578255</v>
      </c>
      <c r="I135" s="2">
        <f t="shared" si="2"/>
        <v>1970.8955139608597</v>
      </c>
      <c r="L135" s="31">
        <f t="shared" si="3"/>
        <v>4961.7294563964642</v>
      </c>
      <c r="M135" s="9"/>
      <c r="N135" s="9"/>
    </row>
    <row r="136" spans="2:14" x14ac:dyDescent="0.25">
      <c r="B136" s="5">
        <v>130</v>
      </c>
      <c r="C136" s="2">
        <f t="shared" si="0"/>
        <v>13159.370032199997</v>
      </c>
      <c r="F136" s="2">
        <f t="shared" si="1"/>
        <v>1614.8157505201332</v>
      </c>
      <c r="I136" s="2">
        <f t="shared" si="2"/>
        <v>2034.6678456553677</v>
      </c>
      <c r="L136" s="31">
        <f t="shared" si="3"/>
        <v>5122.2763014373886</v>
      </c>
      <c r="M136" s="9"/>
      <c r="N136" s="9"/>
    </row>
    <row r="137" spans="2:14" x14ac:dyDescent="0.25">
      <c r="B137" s="5">
        <v>140</v>
      </c>
      <c r="C137" s="2">
        <f t="shared" si="0"/>
        <v>14171.62926544615</v>
      </c>
      <c r="F137" s="2">
        <f t="shared" si="1"/>
        <v>1665.4287121824409</v>
      </c>
      <c r="I137" s="2">
        <f t="shared" si="2"/>
        <v>2098.4401773498753</v>
      </c>
      <c r="L137" s="31">
        <f t="shared" si="3"/>
        <v>5282.8231464783103</v>
      </c>
      <c r="M137" s="9"/>
      <c r="N137" s="9"/>
    </row>
    <row r="138" spans="2:14" x14ac:dyDescent="0.25">
      <c r="B138" s="5">
        <v>150</v>
      </c>
      <c r="C138" s="2">
        <f t="shared" si="0"/>
        <v>15183.888498692304</v>
      </c>
      <c r="F138" s="2">
        <f t="shared" si="1"/>
        <v>1716.0416738447486</v>
      </c>
      <c r="I138" s="2">
        <f t="shared" si="2"/>
        <v>2162.2125090443828</v>
      </c>
      <c r="L138" s="31">
        <f t="shared" si="3"/>
        <v>5443.3699915192337</v>
      </c>
      <c r="M138" s="9"/>
      <c r="N138" s="9"/>
    </row>
    <row r="139" spans="2:14" x14ac:dyDescent="0.25">
      <c r="B139" s="5">
        <v>160</v>
      </c>
      <c r="C139" s="2">
        <f t="shared" si="0"/>
        <v>16196.147731938458</v>
      </c>
      <c r="F139" s="2">
        <f t="shared" si="1"/>
        <v>1766.6546355070561</v>
      </c>
      <c r="I139" s="2">
        <f t="shared" si="2"/>
        <v>2225.9848407388904</v>
      </c>
      <c r="L139" s="31">
        <f t="shared" si="3"/>
        <v>5603.9168365601563</v>
      </c>
      <c r="M139" s="9"/>
      <c r="N139" s="9"/>
    </row>
    <row r="140" spans="2:14" x14ac:dyDescent="0.25">
      <c r="B140" s="5"/>
    </row>
    <row r="143" spans="2:14" x14ac:dyDescent="0.25">
      <c r="B143" s="187" t="s">
        <v>178</v>
      </c>
      <c r="C143" s="187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</row>
    <row r="144" spans="2:14" x14ac:dyDescent="0.25">
      <c r="B144" s="187"/>
      <c r="C144" s="187"/>
    </row>
    <row r="145" spans="2:14" x14ac:dyDescent="0.25">
      <c r="B145" s="187"/>
      <c r="C145" s="187"/>
    </row>
    <row r="146" spans="2:14" x14ac:dyDescent="0.25">
      <c r="B146" s="187"/>
      <c r="C146" s="187"/>
    </row>
    <row r="147" spans="2:14" ht="24.75" x14ac:dyDescent="0.25">
      <c r="B147" s="94" t="s">
        <v>173</v>
      </c>
      <c r="C147" s="9" t="s">
        <v>174</v>
      </c>
      <c r="D147" s="9"/>
      <c r="E147" s="9"/>
      <c r="F147" s="9" t="s">
        <v>175</v>
      </c>
      <c r="G147" s="9"/>
      <c r="H147" s="9"/>
      <c r="I147" s="9" t="s">
        <v>176</v>
      </c>
      <c r="J147" s="9"/>
      <c r="K147" s="9"/>
      <c r="L147" s="9" t="s">
        <v>177</v>
      </c>
      <c r="M147" s="9"/>
      <c r="N147" s="9"/>
    </row>
    <row r="148" spans="2:14" x14ac:dyDescent="0.25">
      <c r="B148" s="5">
        <v>40</v>
      </c>
      <c r="C148" s="2">
        <f>($K$42*(B148*21))*1.154</f>
        <v>4672.5886206642444</v>
      </c>
      <c r="F148" s="2">
        <f>(C148+$K$65)*0.05</f>
        <v>1190.4766799433455</v>
      </c>
      <c r="I148" s="2">
        <f>(C148+$K$65+F148)*6%</f>
        <v>1500.0006167286153</v>
      </c>
      <c r="L148" s="31">
        <f>(C148+$K$65+F148+I148)*14.25%</f>
        <v>3776.2515526142888</v>
      </c>
      <c r="M148" s="9"/>
      <c r="N148" s="9"/>
    </row>
    <row r="149" spans="2:14" x14ac:dyDescent="0.25">
      <c r="B149" s="5">
        <v>50</v>
      </c>
      <c r="C149" s="2">
        <f t="shared" ref="C149:C160" si="4">($K$42*(B149*21))*1.154</f>
        <v>5840.735775830306</v>
      </c>
      <c r="F149" s="2">
        <f t="shared" ref="F149:F160" si="5">(C149+$K$65)*0.05</f>
        <v>1248.8840377016486</v>
      </c>
      <c r="I149" s="2">
        <f t="shared" ref="I149:I160" si="6">(C149+$K$65+F149)*6%</f>
        <v>1573.593887504077</v>
      </c>
      <c r="L149" s="31">
        <f t="shared" ref="L149:L160" si="7">(C149+$K$65+F149+I149)*14.25%</f>
        <v>3961.5226117915136</v>
      </c>
      <c r="M149" s="9"/>
      <c r="N149" s="9"/>
    </row>
    <row r="150" spans="2:14" x14ac:dyDescent="0.25">
      <c r="B150" s="5">
        <v>60</v>
      </c>
      <c r="C150" s="2">
        <f t="shared" si="4"/>
        <v>7008.8829309963667</v>
      </c>
      <c r="F150" s="2">
        <f t="shared" si="5"/>
        <v>1307.2913954599517</v>
      </c>
      <c r="I150" s="2">
        <f t="shared" si="6"/>
        <v>1647.1871582795388</v>
      </c>
      <c r="L150" s="31">
        <f t="shared" si="7"/>
        <v>4146.7936709687392</v>
      </c>
      <c r="M150" s="9"/>
      <c r="N150" s="9"/>
    </row>
    <row r="151" spans="2:14" x14ac:dyDescent="0.25">
      <c r="B151" s="5">
        <v>70</v>
      </c>
      <c r="C151" s="2">
        <f t="shared" si="4"/>
        <v>8177.0300861624282</v>
      </c>
      <c r="F151" s="2">
        <f t="shared" si="5"/>
        <v>1365.6987532182548</v>
      </c>
      <c r="I151" s="2">
        <f t="shared" si="6"/>
        <v>1720.7804290550007</v>
      </c>
      <c r="L151" s="31">
        <f t="shared" si="7"/>
        <v>4332.0647301459639</v>
      </c>
      <c r="M151" s="9"/>
      <c r="N151" s="9"/>
    </row>
    <row r="152" spans="2:14" x14ac:dyDescent="0.25">
      <c r="B152" s="5">
        <v>80</v>
      </c>
      <c r="C152" s="2">
        <f t="shared" si="4"/>
        <v>9345.1772413284889</v>
      </c>
      <c r="F152" s="2">
        <f t="shared" si="5"/>
        <v>1424.1061109765578</v>
      </c>
      <c r="I152" s="2">
        <f t="shared" si="6"/>
        <v>1794.3736998304626</v>
      </c>
      <c r="L152" s="31">
        <f t="shared" si="7"/>
        <v>4517.3357893231896</v>
      </c>
      <c r="M152" s="9"/>
      <c r="N152" s="9"/>
    </row>
    <row r="153" spans="2:14" x14ac:dyDescent="0.25">
      <c r="B153" s="5">
        <v>90</v>
      </c>
      <c r="C153" s="2">
        <f t="shared" si="4"/>
        <v>10513.32439649455</v>
      </c>
      <c r="F153" s="2">
        <f t="shared" si="5"/>
        <v>1482.5134687348609</v>
      </c>
      <c r="I153" s="2">
        <f t="shared" si="6"/>
        <v>1867.9669706059244</v>
      </c>
      <c r="L153" s="31">
        <f t="shared" si="7"/>
        <v>4702.6068485004143</v>
      </c>
      <c r="M153" s="9"/>
      <c r="N153" s="9"/>
    </row>
    <row r="154" spans="2:14" x14ac:dyDescent="0.25">
      <c r="B154" s="5">
        <v>100</v>
      </c>
      <c r="C154" s="2">
        <f t="shared" si="4"/>
        <v>11681.471551660612</v>
      </c>
      <c r="F154" s="2">
        <f t="shared" si="5"/>
        <v>1540.920826493164</v>
      </c>
      <c r="I154" s="2">
        <f t="shared" si="6"/>
        <v>1941.5602413813863</v>
      </c>
      <c r="L154" s="31">
        <f t="shared" si="7"/>
        <v>4887.8779076776391</v>
      </c>
      <c r="M154" s="9"/>
      <c r="N154" s="9"/>
    </row>
    <row r="155" spans="2:14" x14ac:dyDescent="0.25">
      <c r="B155" s="5">
        <v>110</v>
      </c>
      <c r="C155" s="2">
        <f t="shared" si="4"/>
        <v>12849.618706826674</v>
      </c>
      <c r="F155" s="2">
        <f t="shared" si="5"/>
        <v>1599.3281842514671</v>
      </c>
      <c r="I155" s="2">
        <f t="shared" si="6"/>
        <v>2015.1535121568484</v>
      </c>
      <c r="L155" s="31">
        <f t="shared" si="7"/>
        <v>5073.1489668548647</v>
      </c>
      <c r="M155" s="9"/>
      <c r="N155" s="9"/>
    </row>
    <row r="156" spans="2:14" x14ac:dyDescent="0.25">
      <c r="B156" s="5">
        <v>120</v>
      </c>
      <c r="C156" s="2">
        <f t="shared" si="4"/>
        <v>14017.765861992733</v>
      </c>
      <c r="F156" s="2">
        <f t="shared" si="5"/>
        <v>1657.7355420097699</v>
      </c>
      <c r="I156" s="2">
        <f t="shared" si="6"/>
        <v>2088.7467829323095</v>
      </c>
      <c r="L156" s="31">
        <f t="shared" si="7"/>
        <v>5258.4200260320886</v>
      </c>
      <c r="M156" s="9"/>
      <c r="N156" s="9"/>
    </row>
    <row r="157" spans="2:14" x14ac:dyDescent="0.25">
      <c r="B157" s="5">
        <v>130</v>
      </c>
      <c r="C157" s="2">
        <f t="shared" si="4"/>
        <v>15185.913017158795</v>
      </c>
      <c r="F157" s="2">
        <f t="shared" si="5"/>
        <v>1716.1428997680732</v>
      </c>
      <c r="I157" s="2">
        <f t="shared" si="6"/>
        <v>2162.3400537077719</v>
      </c>
      <c r="L157" s="31">
        <f t="shared" si="7"/>
        <v>5443.6910852093151</v>
      </c>
      <c r="M157" s="9"/>
      <c r="N157" s="9"/>
    </row>
    <row r="158" spans="2:14" x14ac:dyDescent="0.25">
      <c r="B158" s="5">
        <v>140</v>
      </c>
      <c r="C158" s="2">
        <f t="shared" si="4"/>
        <v>16354.060172324856</v>
      </c>
      <c r="F158" s="2">
        <f t="shared" si="5"/>
        <v>1774.5502575263761</v>
      </c>
      <c r="I158" s="2">
        <f t="shared" si="6"/>
        <v>2235.9333244832337</v>
      </c>
      <c r="L158" s="31">
        <f t="shared" si="7"/>
        <v>5628.9621443865399</v>
      </c>
      <c r="M158" s="9"/>
      <c r="N158" s="9"/>
    </row>
    <row r="159" spans="2:14" x14ac:dyDescent="0.25">
      <c r="B159" s="5">
        <v>150</v>
      </c>
      <c r="C159" s="2">
        <f t="shared" si="4"/>
        <v>17522.207327490916</v>
      </c>
      <c r="F159" s="2">
        <f t="shared" si="5"/>
        <v>1832.9576152846794</v>
      </c>
      <c r="I159" s="2">
        <f t="shared" si="6"/>
        <v>2309.5265952586956</v>
      </c>
      <c r="L159" s="31">
        <f t="shared" si="7"/>
        <v>5814.2332035637655</v>
      </c>
      <c r="M159" s="9"/>
      <c r="N159" s="9"/>
    </row>
    <row r="160" spans="2:14" x14ac:dyDescent="0.25">
      <c r="B160" s="5">
        <v>160</v>
      </c>
      <c r="C160" s="2">
        <f t="shared" si="4"/>
        <v>18690.354482656978</v>
      </c>
      <c r="F160" s="2">
        <f t="shared" si="5"/>
        <v>1891.3649730429822</v>
      </c>
      <c r="I160" s="2">
        <f t="shared" si="6"/>
        <v>2383.1198660341574</v>
      </c>
      <c r="L160" s="31">
        <f t="shared" si="7"/>
        <v>5999.5042627409903</v>
      </c>
      <c r="M160" s="9"/>
      <c r="N160" s="9"/>
    </row>
  </sheetData>
  <mergeCells count="121">
    <mergeCell ref="B116:D116"/>
    <mergeCell ref="F116:G116"/>
    <mergeCell ref="L116:N116"/>
    <mergeCell ref="P116:Q116"/>
    <mergeCell ref="B122:C125"/>
    <mergeCell ref="B143:C146"/>
    <mergeCell ref="B113:D113"/>
    <mergeCell ref="L113:N113"/>
    <mergeCell ref="B114:D114"/>
    <mergeCell ref="L114:N114"/>
    <mergeCell ref="B115:C115"/>
    <mergeCell ref="L115:M115"/>
    <mergeCell ref="L109:M109"/>
    <mergeCell ref="P109:Q109"/>
    <mergeCell ref="F110:G110"/>
    <mergeCell ref="P110:Q110"/>
    <mergeCell ref="B112:D112"/>
    <mergeCell ref="F112:G112"/>
    <mergeCell ref="L112:N112"/>
    <mergeCell ref="P112:Q112"/>
    <mergeCell ref="B101:D101"/>
    <mergeCell ref="B102:D102"/>
    <mergeCell ref="B103:C103"/>
    <mergeCell ref="B104:D104"/>
    <mergeCell ref="F104:G104"/>
    <mergeCell ref="B109:C109"/>
    <mergeCell ref="F109:G109"/>
    <mergeCell ref="D95:E95"/>
    <mergeCell ref="B97:C97"/>
    <mergeCell ref="F97:G97"/>
    <mergeCell ref="F98:G98"/>
    <mergeCell ref="B100:D100"/>
    <mergeCell ref="F100:G100"/>
    <mergeCell ref="A79:J79"/>
    <mergeCell ref="A82:I82"/>
    <mergeCell ref="A84:H84"/>
    <mergeCell ref="A85:J85"/>
    <mergeCell ref="A89:J89"/>
    <mergeCell ref="A90:J90"/>
    <mergeCell ref="A74:E74"/>
    <mergeCell ref="A75:F75"/>
    <mergeCell ref="I75:J75"/>
    <mergeCell ref="I76:J76"/>
    <mergeCell ref="I77:J77"/>
    <mergeCell ref="I78:J78"/>
    <mergeCell ref="A65:J65"/>
    <mergeCell ref="A67:I67"/>
    <mergeCell ref="A69:E69"/>
    <mergeCell ref="I69:J69"/>
    <mergeCell ref="C70:F70"/>
    <mergeCell ref="C71:F71"/>
    <mergeCell ref="C54:F54"/>
    <mergeCell ref="C55:F55"/>
    <mergeCell ref="C58:F58"/>
    <mergeCell ref="C60:G60"/>
    <mergeCell ref="C62:E62"/>
    <mergeCell ref="C63:F63"/>
    <mergeCell ref="A49:E49"/>
    <mergeCell ref="H50:I50"/>
    <mergeCell ref="C51:F51"/>
    <mergeCell ref="H51:I51"/>
    <mergeCell ref="C52:F52"/>
    <mergeCell ref="C53:F53"/>
    <mergeCell ref="B41:D41"/>
    <mergeCell ref="F41:H41"/>
    <mergeCell ref="A42:E42"/>
    <mergeCell ref="A43:J43"/>
    <mergeCell ref="A45:J45"/>
    <mergeCell ref="A47:J47"/>
    <mergeCell ref="A36:E36"/>
    <mergeCell ref="B37:D37"/>
    <mergeCell ref="E37:F37"/>
    <mergeCell ref="B38:D38"/>
    <mergeCell ref="B39:D39"/>
    <mergeCell ref="B40:D40"/>
    <mergeCell ref="A28:D28"/>
    <mergeCell ref="E28:F28"/>
    <mergeCell ref="A31:F31"/>
    <mergeCell ref="A32:D32"/>
    <mergeCell ref="E32:F32"/>
    <mergeCell ref="A33:D33"/>
    <mergeCell ref="A25:D25"/>
    <mergeCell ref="E25:F25"/>
    <mergeCell ref="A26:D26"/>
    <mergeCell ref="E26:F26"/>
    <mergeCell ref="A27:D27"/>
    <mergeCell ref="E27:F27"/>
    <mergeCell ref="K18:N18"/>
    <mergeCell ref="A19:F19"/>
    <mergeCell ref="A20:F20"/>
    <mergeCell ref="A23:F23"/>
    <mergeCell ref="A24:D24"/>
    <mergeCell ref="E24:F24"/>
    <mergeCell ref="A16:D16"/>
    <mergeCell ref="E16:F16"/>
    <mergeCell ref="K16:N17"/>
    <mergeCell ref="H20:N21"/>
    <mergeCell ref="O16:O17"/>
    <mergeCell ref="P16:P17"/>
    <mergeCell ref="T17:V17"/>
    <mergeCell ref="A14:D14"/>
    <mergeCell ref="E14:F14"/>
    <mergeCell ref="K14:N15"/>
    <mergeCell ref="O14:O15"/>
    <mergeCell ref="P14:P15"/>
    <mergeCell ref="E15:F15"/>
    <mergeCell ref="A11:F11"/>
    <mergeCell ref="K11:N11"/>
    <mergeCell ref="A12:C12"/>
    <mergeCell ref="E12:F12"/>
    <mergeCell ref="K12:N12"/>
    <mergeCell ref="A13:D13"/>
    <mergeCell ref="E13:F13"/>
    <mergeCell ref="K13:N13"/>
    <mergeCell ref="C2:F6"/>
    <mergeCell ref="H3:P5"/>
    <mergeCell ref="F7:H7"/>
    <mergeCell ref="K7:N7"/>
    <mergeCell ref="B8:C8"/>
    <mergeCell ref="I9:P9"/>
    <mergeCell ref="A9:F9"/>
  </mergeCells>
  <conditionalFormatting sqref="P19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{9DA9BDA5-6D99-42EE-B5C9-132BAF512E1A}</x14:id>
        </ext>
      </extLst>
    </cfRule>
  </conditionalFormatting>
  <dataValidations disablePrompts="1" count="3">
    <dataValidation type="list" allowBlank="1" showInputMessage="1" showErrorMessage="1" sqref="E15:F15">
      <formula1>"0,1,2,3,4,5,6,7,8,9,10,11,12,13,14,15"</formula1>
    </dataValidation>
    <dataValidation type="list" allowBlank="1" showInputMessage="1" showErrorMessage="1" sqref="L51">
      <formula1>"LINEAR, MÉTODO COLE"</formula1>
    </dataValidation>
    <dataValidation type="list" allowBlank="1" showInputMessage="1" showErrorMessage="1" sqref="F7:H7 T17:V17">
      <formula1>$Q$119:$Q$122</formula1>
    </dataValidation>
  </dataValidations>
  <pageMargins left="0.51181102362204722" right="0.51181102362204722" top="0.78740157480314965" bottom="0.78740157480314965" header="0.31496062992125984" footer="0.31496062992125984"/>
  <pageSetup paperSize="9" scale="50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DA9BDA5-6D99-42EE-B5C9-132BAF512E1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P19</xm:sqref>
        </x14:conditionalFormatting>
      </x14:conditionalFormatting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36">
    <tabColor rgb="FF00B0F0"/>
  </sheetPr>
  <dimension ref="A2:V160"/>
  <sheetViews>
    <sheetView tabSelected="1" view="pageBreakPreview" topLeftCell="A41" zoomScale="85" zoomScaleNormal="100" zoomScaleSheetLayoutView="85" workbookViewId="0">
      <selection activeCell="A57" sqref="A57"/>
    </sheetView>
  </sheetViews>
  <sheetFormatPr defaultColWidth="8.85546875" defaultRowHeight="15" x14ac:dyDescent="0.25"/>
  <cols>
    <col min="2" max="2" width="14.140625" customWidth="1"/>
    <col min="3" max="3" width="15.28515625" customWidth="1"/>
    <col min="5" max="5" width="12.42578125" customWidth="1"/>
    <col min="6" max="6" width="13.5703125" customWidth="1"/>
    <col min="7" max="7" width="12.140625" customWidth="1"/>
    <col min="9" max="9" width="10.7109375" customWidth="1"/>
    <col min="10" max="10" width="12.140625" bestFit="1" customWidth="1"/>
    <col min="11" max="11" width="16.42578125" bestFit="1" customWidth="1"/>
    <col min="12" max="12" width="14.42578125" customWidth="1"/>
    <col min="14" max="14" width="6.42578125" customWidth="1"/>
    <col min="15" max="15" width="9" customWidth="1"/>
    <col min="16" max="16" width="10.42578125" customWidth="1"/>
    <col min="17" max="17" width="15.140625" customWidth="1"/>
    <col min="18" max="18" width="14.7109375" bestFit="1" customWidth="1"/>
    <col min="19" max="19" width="19.42578125" bestFit="1" customWidth="1"/>
  </cols>
  <sheetData>
    <row r="2" spans="1:19" x14ac:dyDescent="0.25">
      <c r="C2" s="239" t="s">
        <v>151</v>
      </c>
      <c r="D2" s="240"/>
      <c r="E2" s="240"/>
      <c r="F2" s="240"/>
    </row>
    <row r="3" spans="1:19" x14ac:dyDescent="0.25">
      <c r="C3" s="240"/>
      <c r="D3" s="240"/>
      <c r="E3" s="240"/>
      <c r="F3" s="240"/>
      <c r="H3" s="241" t="s">
        <v>64</v>
      </c>
      <c r="I3" s="239"/>
      <c r="J3" s="239"/>
      <c r="K3" s="239"/>
      <c r="L3" s="239"/>
      <c r="M3" s="239"/>
      <c r="N3" s="239"/>
      <c r="O3" s="239"/>
      <c r="P3" s="239"/>
    </row>
    <row r="4" spans="1:19" x14ac:dyDescent="0.25">
      <c r="C4" s="240"/>
      <c r="D4" s="240"/>
      <c r="E4" s="240"/>
      <c r="F4" s="240"/>
      <c r="H4" s="239"/>
      <c r="I4" s="239"/>
      <c r="J4" s="239"/>
      <c r="K4" s="239"/>
      <c r="L4" s="239"/>
      <c r="M4" s="239"/>
      <c r="N4" s="239"/>
      <c r="O4" s="239"/>
      <c r="P4" s="239"/>
    </row>
    <row r="5" spans="1:19" x14ac:dyDescent="0.25">
      <c r="C5" s="240"/>
      <c r="D5" s="240"/>
      <c r="E5" s="240"/>
      <c r="F5" s="240"/>
      <c r="H5" s="239"/>
      <c r="I5" s="239"/>
      <c r="J5" s="239"/>
      <c r="K5" s="239"/>
      <c r="L5" s="239"/>
      <c r="M5" s="239"/>
      <c r="N5" s="239"/>
      <c r="O5" s="239"/>
      <c r="P5" s="239"/>
    </row>
    <row r="6" spans="1:19" x14ac:dyDescent="0.25">
      <c r="C6" s="240"/>
      <c r="D6" s="240"/>
      <c r="E6" s="240"/>
      <c r="F6" s="240"/>
    </row>
    <row r="7" spans="1:19" ht="21" x14ac:dyDescent="0.35">
      <c r="E7" s="18" t="s">
        <v>80</v>
      </c>
      <c r="F7" s="235" t="s">
        <v>65</v>
      </c>
      <c r="G7" s="235"/>
      <c r="H7" s="235"/>
      <c r="K7" s="242" t="s">
        <v>286</v>
      </c>
      <c r="L7" s="243"/>
      <c r="M7" s="243"/>
      <c r="N7" s="243"/>
    </row>
    <row r="8" spans="1:19" ht="15.75" x14ac:dyDescent="0.25">
      <c r="B8" s="194"/>
      <c r="C8" s="194"/>
      <c r="D8" s="8"/>
      <c r="E8" s="8"/>
      <c r="F8" s="8"/>
      <c r="J8" s="9"/>
    </row>
    <row r="9" spans="1:19" ht="21" x14ac:dyDescent="0.35">
      <c r="A9" s="235" t="s">
        <v>352</v>
      </c>
      <c r="B9" s="235"/>
      <c r="C9" s="235"/>
      <c r="D9" s="235"/>
      <c r="E9" s="235"/>
      <c r="F9" s="235"/>
      <c r="I9" s="244" t="s">
        <v>157</v>
      </c>
      <c r="J9" s="244"/>
      <c r="K9" s="244"/>
      <c r="L9" s="244"/>
      <c r="M9" s="244"/>
      <c r="N9" s="244"/>
      <c r="O9" s="244"/>
      <c r="P9" s="244"/>
      <c r="R9" s="9" t="s">
        <v>155</v>
      </c>
      <c r="S9" s="9" t="s">
        <v>156</v>
      </c>
    </row>
    <row r="10" spans="1:19" x14ac:dyDescent="0.25">
      <c r="R10" s="2">
        <f>K43</f>
        <v>212.57443898169228</v>
      </c>
      <c r="S10" s="43">
        <f>K45</f>
        <v>5547.852738319797</v>
      </c>
    </row>
    <row r="11" spans="1:19" ht="17.25" x14ac:dyDescent="0.3">
      <c r="A11" s="236" t="s">
        <v>150</v>
      </c>
      <c r="B11" s="237"/>
      <c r="C11" s="237"/>
      <c r="D11" s="237"/>
      <c r="E11" s="237"/>
      <c r="F11" s="238"/>
      <c r="G11" s="40" t="s">
        <v>0</v>
      </c>
      <c r="K11" s="206" t="s">
        <v>15</v>
      </c>
      <c r="L11" s="206"/>
      <c r="M11" s="206"/>
      <c r="N11" s="206"/>
      <c r="O11" s="161">
        <f>O12+O13</f>
        <v>49.7</v>
      </c>
      <c r="P11" s="47" t="s">
        <v>14</v>
      </c>
      <c r="R11" s="130">
        <f>K65/O18*O14</f>
        <v>808.60330893814069</v>
      </c>
      <c r="S11" s="130">
        <f>K65/O18*O16</f>
        <v>18328.341669264522</v>
      </c>
    </row>
    <row r="12" spans="1:19" ht="15.75" x14ac:dyDescent="0.25">
      <c r="A12" s="214" t="s">
        <v>107</v>
      </c>
      <c r="B12" s="215"/>
      <c r="C12" s="215"/>
      <c r="D12" s="48"/>
      <c r="E12" s="218">
        <f>Insumos!$B$4</f>
        <v>531068.38</v>
      </c>
      <c r="F12" s="218"/>
      <c r="G12" s="1"/>
      <c r="K12" s="206" t="s">
        <v>136</v>
      </c>
      <c r="L12" s="206"/>
      <c r="M12" s="206"/>
      <c r="N12" s="206"/>
      <c r="O12" s="150">
        <v>2.1</v>
      </c>
      <c r="P12" s="47" t="s">
        <v>14</v>
      </c>
      <c r="R12" s="2">
        <f>K72/O18*O14</f>
        <v>71.18263899422675</v>
      </c>
      <c r="S12" s="2">
        <f>K72/O18*O16</f>
        <v>1613.4731505358063</v>
      </c>
    </row>
    <row r="13" spans="1:19" ht="15.75" x14ac:dyDescent="0.25">
      <c r="A13" s="214" t="s">
        <v>285</v>
      </c>
      <c r="B13" s="215"/>
      <c r="C13" s="215"/>
      <c r="D13" s="216"/>
      <c r="E13" s="198">
        <f>'DEPRECIAÇÃO LINEAR'!D15</f>
        <v>10</v>
      </c>
      <c r="F13" s="198"/>
      <c r="K13" s="206" t="s">
        <v>137</v>
      </c>
      <c r="L13" s="206"/>
      <c r="M13" s="206"/>
      <c r="N13" s="206"/>
      <c r="O13" s="150">
        <v>47.6</v>
      </c>
      <c r="P13" s="47" t="s">
        <v>14</v>
      </c>
      <c r="R13" s="2">
        <f>K79/O18*O14</f>
        <v>106.35516164783905</v>
      </c>
      <c r="S13" s="2">
        <f>K79/O18*O16</f>
        <v>2410.7169973510186</v>
      </c>
    </row>
    <row r="14" spans="1:19" ht="15" customHeight="1" x14ac:dyDescent="0.25">
      <c r="A14" s="214" t="s">
        <v>23</v>
      </c>
      <c r="B14" s="215"/>
      <c r="C14" s="215"/>
      <c r="D14" s="216"/>
      <c r="E14" s="219">
        <v>2026</v>
      </c>
      <c r="F14" s="220"/>
      <c r="K14" s="223" t="s">
        <v>138</v>
      </c>
      <c r="L14" s="223"/>
      <c r="M14" s="223"/>
      <c r="N14" s="223"/>
      <c r="O14" s="232">
        <f>O12*21</f>
        <v>44.1</v>
      </c>
      <c r="P14" s="234" t="s">
        <v>14</v>
      </c>
      <c r="R14" s="2">
        <f>SUM(R10:R13)</f>
        <v>1198.7155485618987</v>
      </c>
      <c r="S14" s="2">
        <f>SUM(S10:S13)</f>
        <v>27900.384555471144</v>
      </c>
    </row>
    <row r="15" spans="1:19" ht="15.75" customHeight="1" x14ac:dyDescent="0.25">
      <c r="A15" s="49" t="s">
        <v>79</v>
      </c>
      <c r="B15" s="48"/>
      <c r="C15" s="48"/>
      <c r="D15" s="48"/>
      <c r="E15" s="198">
        <v>0</v>
      </c>
      <c r="F15" s="198"/>
      <c r="G15" s="41" t="s">
        <v>128</v>
      </c>
      <c r="I15" s="28"/>
      <c r="J15" s="28"/>
      <c r="K15" s="223"/>
      <c r="L15" s="223"/>
      <c r="M15" s="223"/>
      <c r="N15" s="223"/>
      <c r="O15" s="233"/>
      <c r="P15" s="234"/>
      <c r="R15" s="31">
        <f>IFERROR(R14/O14,0)</f>
        <v>27.181758470791351</v>
      </c>
      <c r="S15" s="31">
        <f>IFERROR(S14/O16,0)</f>
        <v>27.9115491751412</v>
      </c>
    </row>
    <row r="16" spans="1:19" ht="15" customHeight="1" x14ac:dyDescent="0.25">
      <c r="A16" s="214" t="s">
        <v>84</v>
      </c>
      <c r="B16" s="215"/>
      <c r="C16" s="215"/>
      <c r="D16" s="215"/>
      <c r="E16" s="198" t="str">
        <f>IF($F$7=$D$95,F104,IF($F$7=$D$107,F116,IF($F$7=$N$95,Q104,IF($F$7=$O$107,P116,""))))</f>
        <v>ATÉ 59 ALUNOS</v>
      </c>
      <c r="F16" s="198"/>
      <c r="I16" s="28"/>
      <c r="J16" s="28"/>
      <c r="K16" s="223" t="s">
        <v>139</v>
      </c>
      <c r="L16" s="223"/>
      <c r="M16" s="223"/>
      <c r="N16" s="223"/>
      <c r="O16" s="232">
        <f>O13*21</f>
        <v>999.6</v>
      </c>
      <c r="P16" s="234" t="s">
        <v>14</v>
      </c>
    </row>
    <row r="17" spans="1:22" ht="15" customHeight="1" x14ac:dyDescent="0.35">
      <c r="I17" s="28"/>
      <c r="J17" s="28"/>
      <c r="K17" s="223"/>
      <c r="L17" s="223"/>
      <c r="M17" s="223"/>
      <c r="N17" s="223"/>
      <c r="O17" s="233"/>
      <c r="P17" s="234"/>
      <c r="R17" s="2">
        <f>R14+S14</f>
        <v>29099.100104033045</v>
      </c>
      <c r="T17" s="235"/>
      <c r="U17" s="235"/>
      <c r="V17" s="235"/>
    </row>
    <row r="18" spans="1:22" ht="15" customHeight="1" x14ac:dyDescent="0.25">
      <c r="I18" s="28"/>
      <c r="J18" s="28"/>
      <c r="K18" s="223" t="s">
        <v>140</v>
      </c>
      <c r="L18" s="223"/>
      <c r="M18" s="223"/>
      <c r="N18" s="223"/>
      <c r="O18" s="46">
        <f>O16+O14</f>
        <v>1043.7</v>
      </c>
      <c r="P18" s="47" t="s">
        <v>14</v>
      </c>
      <c r="R18" s="2">
        <f>R17/O18</f>
        <v>27.880712948196841</v>
      </c>
    </row>
    <row r="19" spans="1:22" ht="15.75" customHeight="1" thickBot="1" x14ac:dyDescent="0.35">
      <c r="A19" s="224" t="s">
        <v>1</v>
      </c>
      <c r="B19" s="225"/>
      <c r="C19" s="225"/>
      <c r="D19" s="225"/>
      <c r="E19" s="225"/>
      <c r="F19" s="225"/>
      <c r="I19" s="29"/>
      <c r="J19" s="29"/>
      <c r="K19" s="29"/>
      <c r="L19" s="29"/>
      <c r="M19" s="29"/>
    </row>
    <row r="20" spans="1:22" ht="15" customHeight="1" x14ac:dyDescent="0.25">
      <c r="A20" s="206" t="s">
        <v>106</v>
      </c>
      <c r="B20" s="206"/>
      <c r="C20" s="206"/>
      <c r="D20" s="206"/>
      <c r="E20" s="206"/>
      <c r="F20" s="206"/>
      <c r="H20" s="285" t="s">
        <v>305</v>
      </c>
      <c r="I20" s="286"/>
      <c r="J20" s="286"/>
      <c r="K20" s="286"/>
      <c r="L20" s="286"/>
      <c r="M20" s="286"/>
      <c r="N20" s="287"/>
      <c r="O20" s="93">
        <f>K90</f>
        <v>27.880712948196837</v>
      </c>
      <c r="R20" s="93">
        <f>K90</f>
        <v>27.880712948196837</v>
      </c>
    </row>
    <row r="21" spans="1:22" ht="15.75" thickBot="1" x14ac:dyDescent="0.3">
      <c r="H21" s="288"/>
      <c r="I21" s="289"/>
      <c r="J21" s="289"/>
      <c r="K21" s="289"/>
      <c r="L21" s="289"/>
      <c r="M21" s="289"/>
      <c r="N21" s="290"/>
      <c r="O21" s="2"/>
    </row>
    <row r="23" spans="1:22" ht="17.25" x14ac:dyDescent="0.3">
      <c r="A23" s="224" t="s">
        <v>2</v>
      </c>
      <c r="B23" s="225"/>
      <c r="C23" s="225"/>
      <c r="D23" s="225"/>
      <c r="E23" s="225"/>
      <c r="F23" s="225"/>
      <c r="L23" s="2"/>
    </row>
    <row r="24" spans="1:22" ht="15.75" x14ac:dyDescent="0.25">
      <c r="A24" s="214" t="s">
        <v>11</v>
      </c>
      <c r="B24" s="215"/>
      <c r="C24" s="215"/>
      <c r="D24" s="215"/>
      <c r="E24" s="198">
        <f>IF($F$7=$D$95,F100,IF($F$7=$D$107,F112,IF($F$7=$N$95,Q100,IF($F$7=$O$107,P112,""))))</f>
        <v>6</v>
      </c>
      <c r="F24" s="198"/>
    </row>
    <row r="25" spans="1:22" ht="15.75" x14ac:dyDescent="0.25">
      <c r="A25" s="214" t="s">
        <v>9</v>
      </c>
      <c r="B25" s="215"/>
      <c r="C25" s="215"/>
      <c r="D25" s="216"/>
      <c r="E25" s="218">
        <f>Insumos!$B$5</f>
        <v>2453.2399999999998</v>
      </c>
      <c r="F25" s="218"/>
    </row>
    <row r="26" spans="1:22" ht="15.75" x14ac:dyDescent="0.25">
      <c r="A26" s="214" t="s">
        <v>147</v>
      </c>
      <c r="B26" s="215"/>
      <c r="C26" s="215"/>
      <c r="D26" s="216"/>
      <c r="E26" s="219">
        <v>2</v>
      </c>
      <c r="F26" s="220"/>
    </row>
    <row r="27" spans="1:22" ht="15.75" x14ac:dyDescent="0.25">
      <c r="A27" s="214" t="s">
        <v>148</v>
      </c>
      <c r="B27" s="215"/>
      <c r="C27" s="215"/>
      <c r="D27" s="216"/>
      <c r="E27" s="221">
        <f>Insumos!$B$6</f>
        <v>975.83</v>
      </c>
      <c r="F27" s="222"/>
    </row>
    <row r="28" spans="1:22" ht="15.75" x14ac:dyDescent="0.25">
      <c r="A28" s="214" t="s">
        <v>149</v>
      </c>
      <c r="B28" s="215"/>
      <c r="C28" s="215"/>
      <c r="D28" s="216"/>
      <c r="E28" s="217">
        <v>100000</v>
      </c>
      <c r="F28" s="217"/>
    </row>
    <row r="31" spans="1:22" ht="15.75" x14ac:dyDescent="0.25">
      <c r="A31" s="191" t="s">
        <v>3</v>
      </c>
      <c r="B31" s="192"/>
      <c r="C31" s="192"/>
      <c r="D31" s="192"/>
      <c r="E31" s="192"/>
      <c r="F31" s="192"/>
    </row>
    <row r="32" spans="1:22" ht="15.75" x14ac:dyDescent="0.25">
      <c r="A32" s="214" t="s">
        <v>19</v>
      </c>
      <c r="B32" s="215"/>
      <c r="C32" s="215"/>
      <c r="D32" s="216"/>
      <c r="E32" s="218">
        <f>Insumos!$B$7</f>
        <v>7.6</v>
      </c>
      <c r="F32" s="218"/>
    </row>
    <row r="33" spans="1:14" ht="15.75" x14ac:dyDescent="0.25">
      <c r="A33" s="214" t="s">
        <v>17</v>
      </c>
      <c r="B33" s="215"/>
      <c r="C33" s="215"/>
      <c r="D33" s="216"/>
      <c r="E33" s="46">
        <f>IF($F$7=$D$95,G103,IF($F$7=$D$107,G115,IF($F$7=$N$95,Q103,IF($F$7=$O$107,Q115,""))))</f>
        <v>2.6</v>
      </c>
      <c r="F33" s="50" t="s">
        <v>18</v>
      </c>
    </row>
    <row r="36" spans="1:14" ht="17.25" x14ac:dyDescent="0.3">
      <c r="A36" s="208" t="s">
        <v>20</v>
      </c>
      <c r="B36" s="209"/>
      <c r="C36" s="209"/>
      <c r="D36" s="209"/>
      <c r="E36" s="209"/>
    </row>
    <row r="37" spans="1:14" x14ac:dyDescent="0.25">
      <c r="B37" s="210"/>
      <c r="C37" s="210"/>
      <c r="D37" s="211"/>
      <c r="E37" s="212" t="s">
        <v>4</v>
      </c>
      <c r="F37" s="213"/>
    </row>
    <row r="38" spans="1:14" ht="15.75" x14ac:dyDescent="0.25">
      <c r="A38" s="46" t="s">
        <v>346</v>
      </c>
      <c r="B38" s="214" t="s">
        <v>52</v>
      </c>
      <c r="C38" s="215"/>
      <c r="D38" s="216"/>
      <c r="E38" s="46">
        <f>1/E33</f>
        <v>0.38461538461538458</v>
      </c>
      <c r="F38" s="7" t="s">
        <v>5</v>
      </c>
      <c r="G38" s="7"/>
      <c r="H38" s="7"/>
      <c r="I38" s="7"/>
      <c r="J38" s="7"/>
      <c r="K38" s="58">
        <f>E32*E38</f>
        <v>2.9230769230769225</v>
      </c>
      <c r="L38" s="51" t="s">
        <v>13</v>
      </c>
      <c r="N38" s="2"/>
    </row>
    <row r="39" spans="1:14" ht="15.75" x14ac:dyDescent="0.25">
      <c r="A39" s="46" t="s">
        <v>6</v>
      </c>
      <c r="B39" s="206" t="s">
        <v>152</v>
      </c>
      <c r="C39" s="206"/>
      <c r="D39" s="206"/>
      <c r="E39" s="46">
        <v>0.04</v>
      </c>
      <c r="F39" s="7" t="s">
        <v>5</v>
      </c>
      <c r="G39" s="7"/>
      <c r="H39" s="7"/>
      <c r="I39" s="7"/>
      <c r="J39" s="7"/>
      <c r="K39" s="58">
        <f>E39*E32</f>
        <v>0.30399999999999999</v>
      </c>
      <c r="L39" s="51" t="s">
        <v>13</v>
      </c>
    </row>
    <row r="40" spans="1:14" ht="15.75" x14ac:dyDescent="0.25">
      <c r="A40" s="46" t="s">
        <v>7</v>
      </c>
      <c r="B40" s="206" t="s">
        <v>8</v>
      </c>
      <c r="C40" s="206"/>
      <c r="D40" s="206"/>
      <c r="E40" s="46"/>
      <c r="F40" s="7"/>
      <c r="G40" s="7"/>
      <c r="H40" s="7"/>
      <c r="I40" s="7"/>
      <c r="J40" s="7"/>
      <c r="K40" s="58">
        <f>((E25*E24)+(E26*E24*E27))/E28</f>
        <v>0.26429400000000003</v>
      </c>
      <c r="L40" s="51" t="s">
        <v>13</v>
      </c>
    </row>
    <row r="41" spans="1:14" ht="15.75" x14ac:dyDescent="0.25">
      <c r="A41" s="46" t="s">
        <v>12</v>
      </c>
      <c r="B41" s="206" t="s">
        <v>153</v>
      </c>
      <c r="C41" s="206"/>
      <c r="D41" s="206"/>
      <c r="E41" s="70">
        <v>3.0000000000000001E-6</v>
      </c>
      <c r="F41" s="193" t="s">
        <v>10</v>
      </c>
      <c r="G41" s="193"/>
      <c r="H41" s="193"/>
      <c r="I41" s="7"/>
      <c r="J41" s="7"/>
      <c r="K41" s="58">
        <f>(E41*E12)-(K40)</f>
        <v>1.32891114</v>
      </c>
      <c r="L41" s="51" t="s">
        <v>13</v>
      </c>
    </row>
    <row r="42" spans="1:14" ht="15.75" x14ac:dyDescent="0.25">
      <c r="A42" s="207"/>
      <c r="B42" s="207"/>
      <c r="C42" s="207"/>
      <c r="D42" s="207"/>
      <c r="E42" s="207"/>
      <c r="F42" s="7"/>
      <c r="G42" s="7"/>
      <c r="H42" s="7"/>
      <c r="I42" s="7"/>
      <c r="J42" s="7"/>
      <c r="K42" s="58">
        <f>SUM(K38:K41)</f>
        <v>4.8202820630769221</v>
      </c>
      <c r="L42" s="51" t="s">
        <v>13</v>
      </c>
    </row>
    <row r="43" spans="1:14" ht="21" customHeight="1" x14ac:dyDescent="0.25">
      <c r="A43" s="200" t="s">
        <v>144</v>
      </c>
      <c r="B43" s="200"/>
      <c r="C43" s="200"/>
      <c r="D43" s="200"/>
      <c r="E43" s="200"/>
      <c r="F43" s="200"/>
      <c r="G43" s="200"/>
      <c r="H43" s="200"/>
      <c r="I43" s="200"/>
      <c r="J43" s="200"/>
      <c r="K43" s="68">
        <f>K42*O14</f>
        <v>212.57443898169228</v>
      </c>
      <c r="L43" s="52" t="s">
        <v>16</v>
      </c>
    </row>
    <row r="45" spans="1:14" ht="18.75" x14ac:dyDescent="0.3">
      <c r="A45" s="190" t="s">
        <v>145</v>
      </c>
      <c r="B45" s="190"/>
      <c r="C45" s="190"/>
      <c r="D45" s="190"/>
      <c r="E45" s="190"/>
      <c r="F45" s="190"/>
      <c r="G45" s="190"/>
      <c r="H45" s="190"/>
      <c r="I45" s="190"/>
      <c r="J45" s="190"/>
      <c r="K45" s="65">
        <f>K42*O16*1.1514</f>
        <v>5547.852738319797</v>
      </c>
      <c r="L45" s="53" t="s">
        <v>16</v>
      </c>
    </row>
    <row r="46" spans="1:14" ht="15.75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</row>
    <row r="47" spans="1:14" ht="18.75" x14ac:dyDescent="0.3">
      <c r="A47" s="190" t="s">
        <v>146</v>
      </c>
      <c r="B47" s="190"/>
      <c r="C47" s="190"/>
      <c r="D47" s="190"/>
      <c r="E47" s="190"/>
      <c r="F47" s="190"/>
      <c r="G47" s="190"/>
      <c r="H47" s="190"/>
      <c r="I47" s="190"/>
      <c r="J47" s="190"/>
      <c r="K47" s="65">
        <f>K43+K45</f>
        <v>5760.4271773014889</v>
      </c>
      <c r="L47" s="54" t="s">
        <v>16</v>
      </c>
    </row>
    <row r="49" spans="1:12" ht="15.75" x14ac:dyDescent="0.25">
      <c r="A49" s="197" t="s">
        <v>21</v>
      </c>
      <c r="B49" s="204"/>
      <c r="C49" s="204"/>
      <c r="D49" s="204"/>
      <c r="E49" s="204"/>
      <c r="F49" s="7"/>
      <c r="G49" s="7"/>
      <c r="H49" s="7"/>
      <c r="I49" s="7"/>
      <c r="J49" s="7"/>
      <c r="K49" s="7"/>
      <c r="L49" s="7"/>
    </row>
    <row r="50" spans="1:12" ht="15.75" x14ac:dyDescent="0.25">
      <c r="A50" s="3"/>
      <c r="B50" s="45"/>
      <c r="C50" s="45"/>
      <c r="D50" s="45"/>
      <c r="E50" s="45"/>
      <c r="F50" s="7"/>
      <c r="G50" s="7"/>
      <c r="H50" s="205" t="s">
        <v>25</v>
      </c>
      <c r="I50" s="205"/>
      <c r="J50" s="7"/>
      <c r="K50" s="7"/>
      <c r="L50" s="7"/>
    </row>
    <row r="51" spans="1:12" ht="15.75" x14ac:dyDescent="0.25">
      <c r="A51" s="7" t="s">
        <v>22</v>
      </c>
      <c r="B51" s="7"/>
      <c r="C51" s="193" t="s">
        <v>24</v>
      </c>
      <c r="D51" s="193"/>
      <c r="E51" s="193"/>
      <c r="F51" s="193"/>
      <c r="G51" s="7"/>
      <c r="H51" s="195"/>
      <c r="I51" s="195"/>
      <c r="J51" s="58"/>
      <c r="K51" s="59">
        <f>IF(L51="LINEAR",'DEPRECIAÇÃO LINEAR'!H23,(VLOOKUP(E15,'DEPRECIAÇÃO LINEAR'!W12:AM25,17,0)))</f>
        <v>3983.0128500000005</v>
      </c>
      <c r="L51" s="55" t="s">
        <v>130</v>
      </c>
    </row>
    <row r="52" spans="1:12" ht="15.75" x14ac:dyDescent="0.25">
      <c r="A52" s="7" t="s">
        <v>26</v>
      </c>
      <c r="B52" s="7"/>
      <c r="C52" s="193" t="s">
        <v>27</v>
      </c>
      <c r="D52" s="193"/>
      <c r="E52" s="193"/>
      <c r="F52" s="193"/>
      <c r="G52" s="7"/>
      <c r="H52" s="7"/>
      <c r="I52" s="7"/>
      <c r="J52" s="58"/>
      <c r="K52" s="58"/>
      <c r="L52" s="7"/>
    </row>
    <row r="53" spans="1:12" ht="15.75" x14ac:dyDescent="0.25">
      <c r="A53" s="7"/>
      <c r="B53" s="7" t="s">
        <v>31</v>
      </c>
      <c r="C53" s="193" t="s">
        <v>28</v>
      </c>
      <c r="D53" s="193"/>
      <c r="E53" s="193"/>
      <c r="F53" s="193"/>
      <c r="G53" s="7"/>
      <c r="H53" s="7"/>
      <c r="I53" s="7"/>
      <c r="J53" s="58"/>
      <c r="K53" s="58">
        <f>'Motorista de Veiculo Pesado'!E90</f>
        <v>8468.4608078400015</v>
      </c>
      <c r="L53" s="7"/>
    </row>
    <row r="54" spans="1:12" ht="15.75" x14ac:dyDescent="0.25">
      <c r="A54" s="7"/>
      <c r="B54" s="7" t="s">
        <v>32</v>
      </c>
      <c r="C54" s="193" t="s">
        <v>29</v>
      </c>
      <c r="D54" s="193"/>
      <c r="E54" s="193"/>
      <c r="F54" s="193"/>
      <c r="G54" s="7"/>
      <c r="H54" s="7"/>
      <c r="I54" s="7"/>
      <c r="J54" s="58"/>
      <c r="K54" s="58">
        <f>'Monitor de Transporte Escolar'!E90</f>
        <v>4485.726463695999</v>
      </c>
      <c r="L54" s="7"/>
    </row>
    <row r="55" spans="1:12" ht="15.75" x14ac:dyDescent="0.25">
      <c r="A55" s="7" t="s">
        <v>30</v>
      </c>
      <c r="B55" s="7"/>
      <c r="C55" s="193" t="s">
        <v>34</v>
      </c>
      <c r="D55" s="193"/>
      <c r="E55" s="193"/>
      <c r="F55" s="193"/>
      <c r="G55" s="7"/>
      <c r="H55" s="7"/>
      <c r="I55" s="7"/>
      <c r="J55" s="58"/>
      <c r="K55" s="58"/>
      <c r="L55" s="56"/>
    </row>
    <row r="56" spans="1:12" ht="15.75" x14ac:dyDescent="0.25">
      <c r="A56" s="7"/>
      <c r="B56" s="7" t="s">
        <v>33</v>
      </c>
      <c r="C56" s="7" t="s">
        <v>35</v>
      </c>
      <c r="D56" s="7"/>
      <c r="E56" s="7"/>
      <c r="F56" s="7"/>
      <c r="G56" s="7"/>
      <c r="H56" s="7"/>
      <c r="I56" s="7"/>
      <c r="J56" s="58">
        <f>1/100*E12</f>
        <v>5310.6837999999998</v>
      </c>
      <c r="K56" s="58">
        <f>J56/12</f>
        <v>442.55698333333333</v>
      </c>
      <c r="L56" s="7"/>
    </row>
    <row r="57" spans="1:12" ht="15.75" x14ac:dyDescent="0.25">
      <c r="A57" s="7"/>
      <c r="B57" s="7" t="s">
        <v>36</v>
      </c>
      <c r="C57" s="7" t="s">
        <v>37</v>
      </c>
      <c r="D57" s="7"/>
      <c r="E57" s="7"/>
      <c r="F57" s="7"/>
      <c r="G57" s="7"/>
      <c r="H57" s="7"/>
      <c r="I57" s="7"/>
      <c r="J57" s="58">
        <v>230.25</v>
      </c>
      <c r="K57" s="58">
        <f>J57/12</f>
        <v>19.1875</v>
      </c>
      <c r="L57" s="7"/>
    </row>
    <row r="58" spans="1:12" ht="15.75" x14ac:dyDescent="0.25">
      <c r="A58" s="7"/>
      <c r="B58" s="7" t="s">
        <v>38</v>
      </c>
      <c r="C58" s="193" t="s">
        <v>39</v>
      </c>
      <c r="D58" s="193"/>
      <c r="E58" s="193"/>
      <c r="F58" s="193"/>
      <c r="G58" s="7"/>
      <c r="H58" s="7"/>
      <c r="I58" s="7"/>
      <c r="J58" s="58">
        <v>161.80000000000001</v>
      </c>
      <c r="K58" s="58">
        <f>J58/12</f>
        <v>13.483333333333334</v>
      </c>
      <c r="L58" s="7"/>
    </row>
    <row r="59" spans="1:12" ht="15.75" x14ac:dyDescent="0.25">
      <c r="A59" s="7" t="s">
        <v>41</v>
      </c>
      <c r="B59" s="7"/>
      <c r="C59" s="7" t="s">
        <v>40</v>
      </c>
      <c r="D59" s="7"/>
      <c r="E59" s="7"/>
      <c r="F59" s="7"/>
      <c r="G59" s="7"/>
      <c r="H59" s="7"/>
      <c r="I59" s="7"/>
      <c r="J59" s="58">
        <v>0</v>
      </c>
      <c r="K59" s="58">
        <f>J59/12</f>
        <v>0</v>
      </c>
      <c r="L59" s="7"/>
    </row>
    <row r="60" spans="1:12" ht="15.75" x14ac:dyDescent="0.25">
      <c r="A60" s="7" t="s">
        <v>57</v>
      </c>
      <c r="B60" s="7"/>
      <c r="C60" s="193" t="s">
        <v>58</v>
      </c>
      <c r="D60" s="193"/>
      <c r="E60" s="193"/>
      <c r="F60" s="193"/>
      <c r="G60" s="193"/>
      <c r="H60" s="7"/>
      <c r="I60" s="7"/>
      <c r="J60" s="58">
        <f>Insumos!$B$8</f>
        <v>350.88</v>
      </c>
      <c r="K60" s="58">
        <f>4*J60</f>
        <v>1403.52</v>
      </c>
      <c r="L60" s="7"/>
    </row>
    <row r="61" spans="1:12" ht="15.75" x14ac:dyDescent="0.25">
      <c r="A61" s="7" t="s">
        <v>60</v>
      </c>
      <c r="B61" s="7"/>
      <c r="C61" s="45" t="s">
        <v>63</v>
      </c>
      <c r="D61" s="45"/>
      <c r="E61" s="45"/>
      <c r="F61" s="45"/>
      <c r="G61" s="45"/>
      <c r="H61" s="7"/>
      <c r="I61" s="7"/>
      <c r="J61" s="58">
        <f>Insumos!$B$9</f>
        <v>2680.95</v>
      </c>
      <c r="K61" s="58">
        <f>J61/12</f>
        <v>223.41249999999999</v>
      </c>
      <c r="L61" s="7"/>
    </row>
    <row r="62" spans="1:12" ht="15.75" x14ac:dyDescent="0.25">
      <c r="A62" s="7" t="s">
        <v>61</v>
      </c>
      <c r="B62" s="7"/>
      <c r="C62" s="193" t="s">
        <v>62</v>
      </c>
      <c r="D62" s="193"/>
      <c r="E62" s="193"/>
      <c r="F62" s="45"/>
      <c r="G62" s="45"/>
      <c r="H62" s="7"/>
      <c r="I62" s="7"/>
      <c r="J62" s="60">
        <f>Insumos!$B$10</f>
        <v>932.23</v>
      </c>
      <c r="K62" s="58">
        <f>J62/12</f>
        <v>77.685833333333335</v>
      </c>
      <c r="L62" s="7"/>
    </row>
    <row r="63" spans="1:12" ht="15.75" x14ac:dyDescent="0.25">
      <c r="A63" s="7" t="s">
        <v>142</v>
      </c>
      <c r="B63" s="7"/>
      <c r="C63" s="203" t="s">
        <v>143</v>
      </c>
      <c r="D63" s="203"/>
      <c r="E63" s="203"/>
      <c r="F63" s="203"/>
      <c r="G63" s="164"/>
      <c r="H63" s="7"/>
      <c r="I63" s="7"/>
      <c r="J63" s="60">
        <f>Insumos!$B$11</f>
        <v>471.82</v>
      </c>
      <c r="K63" s="72">
        <f>J63/24</f>
        <v>19.659166666666668</v>
      </c>
      <c r="L63" s="7"/>
    </row>
    <row r="64" spans="1:12" ht="15.75" x14ac:dyDescent="0.25">
      <c r="A64" s="7" t="s">
        <v>340</v>
      </c>
      <c r="B64" s="7"/>
      <c r="C64" s="165" t="s">
        <v>343</v>
      </c>
      <c r="D64" s="165"/>
      <c r="E64" s="165"/>
      <c r="F64" s="165"/>
      <c r="G64" s="164"/>
      <c r="H64" s="7"/>
      <c r="I64" s="7"/>
      <c r="J64" s="60">
        <f>Insumos!$B$12</f>
        <v>14.372399999999997</v>
      </c>
      <c r="K64" s="72">
        <f>J64/60</f>
        <v>0.23953999999999995</v>
      </c>
      <c r="L64" s="7"/>
    </row>
    <row r="65" spans="1:13" ht="20.25" customHeight="1" x14ac:dyDescent="0.25">
      <c r="A65" s="259" t="s">
        <v>43</v>
      </c>
      <c r="B65" s="260"/>
      <c r="C65" s="260"/>
      <c r="D65" s="260"/>
      <c r="E65" s="260"/>
      <c r="F65" s="260"/>
      <c r="G65" s="260"/>
      <c r="H65" s="260"/>
      <c r="I65" s="260"/>
      <c r="J65" s="261"/>
      <c r="K65" s="67">
        <f>SUM(K51:K64)</f>
        <v>19136.944978202664</v>
      </c>
      <c r="L65" s="57" t="s">
        <v>16</v>
      </c>
      <c r="M65" s="4"/>
    </row>
    <row r="67" spans="1:13" ht="19.5" customHeight="1" x14ac:dyDescent="0.3">
      <c r="A67" s="262" t="s">
        <v>132</v>
      </c>
      <c r="B67" s="263"/>
      <c r="C67" s="263"/>
      <c r="D67" s="263"/>
      <c r="E67" s="263"/>
      <c r="F67" s="263"/>
      <c r="G67" s="263"/>
      <c r="H67" s="263"/>
      <c r="I67" s="264"/>
      <c r="K67" s="66">
        <f>K47+K65</f>
        <v>24897.372155504152</v>
      </c>
    </row>
    <row r="69" spans="1:13" ht="15.75" x14ac:dyDescent="0.25">
      <c r="A69" s="254" t="s">
        <v>133</v>
      </c>
      <c r="B69" s="255"/>
      <c r="C69" s="255"/>
      <c r="D69" s="255"/>
      <c r="E69" s="256"/>
      <c r="I69" s="265" t="s">
        <v>55</v>
      </c>
      <c r="J69" s="266"/>
    </row>
    <row r="70" spans="1:13" ht="15.75" x14ac:dyDescent="0.25">
      <c r="A70" s="7" t="s">
        <v>341</v>
      </c>
      <c r="B70" s="7"/>
      <c r="C70" s="193" t="s">
        <v>54</v>
      </c>
      <c r="D70" s="193"/>
      <c r="E70" s="193"/>
      <c r="F70" s="193"/>
      <c r="G70" s="7"/>
      <c r="H70" s="7"/>
      <c r="I70" s="168">
        <f>Insumos!$B$15</f>
        <v>2.6599999999999999E-2</v>
      </c>
      <c r="J70" s="7"/>
      <c r="K70" s="58">
        <f>I70*K67</f>
        <v>662.27009933641045</v>
      </c>
      <c r="L70" s="7"/>
    </row>
    <row r="71" spans="1:13" ht="15.75" x14ac:dyDescent="0.25">
      <c r="A71" s="7" t="s">
        <v>342</v>
      </c>
      <c r="B71" s="7"/>
      <c r="C71" s="193" t="s">
        <v>59</v>
      </c>
      <c r="D71" s="193"/>
      <c r="E71" s="193"/>
      <c r="F71" s="193"/>
      <c r="G71" s="7"/>
      <c r="H71" s="7"/>
      <c r="I71" s="169">
        <f>Insumos!$B$16</f>
        <v>0.04</v>
      </c>
      <c r="J71" s="7"/>
      <c r="K71" s="58">
        <f>I71*(K67+K70)</f>
        <v>1022.3856901936225</v>
      </c>
      <c r="L71" s="7"/>
    </row>
    <row r="72" spans="1:13" ht="18.75" x14ac:dyDescent="0.3">
      <c r="A72" s="7"/>
      <c r="B72" s="7"/>
      <c r="C72" s="7"/>
      <c r="D72" s="7"/>
      <c r="E72" s="7"/>
      <c r="F72" s="7"/>
      <c r="G72" s="7"/>
      <c r="H72" s="7"/>
      <c r="I72" s="7"/>
      <c r="J72" s="61" t="s">
        <v>131</v>
      </c>
      <c r="K72" s="65">
        <f>SUM(K70:K71)</f>
        <v>1684.655789530033</v>
      </c>
      <c r="L72" s="54" t="s">
        <v>16</v>
      </c>
    </row>
    <row r="74" spans="1:13" ht="15.75" x14ac:dyDescent="0.25">
      <c r="A74" s="254" t="s">
        <v>134</v>
      </c>
      <c r="B74" s="255"/>
      <c r="C74" s="255"/>
      <c r="D74" s="255"/>
      <c r="E74" s="256"/>
      <c r="F74" s="7"/>
      <c r="G74" s="7"/>
      <c r="H74" s="7"/>
      <c r="I74" s="7"/>
      <c r="J74" s="7"/>
      <c r="K74" s="7"/>
      <c r="L74" s="7"/>
    </row>
    <row r="75" spans="1:13" ht="15.75" x14ac:dyDescent="0.25">
      <c r="A75" s="193" t="s">
        <v>42</v>
      </c>
      <c r="B75" s="193"/>
      <c r="C75" s="193"/>
      <c r="D75" s="193"/>
      <c r="E75" s="193"/>
      <c r="F75" s="193"/>
      <c r="G75" s="7"/>
      <c r="H75" s="7"/>
      <c r="I75" s="219" t="s">
        <v>47</v>
      </c>
      <c r="J75" s="220"/>
      <c r="K75" s="51">
        <f>K67+K72</f>
        <v>26582.027945034184</v>
      </c>
      <c r="L75" s="7"/>
    </row>
    <row r="76" spans="1:13" ht="15.75" x14ac:dyDescent="0.25">
      <c r="A76" s="7" t="s">
        <v>53</v>
      </c>
      <c r="C76" s="7" t="s">
        <v>44</v>
      </c>
      <c r="D76" s="7"/>
      <c r="E76" s="7"/>
      <c r="F76" s="7"/>
      <c r="G76" s="7"/>
      <c r="H76" s="7"/>
      <c r="I76" s="257">
        <f>Insumos!$B$18</f>
        <v>0.05</v>
      </c>
      <c r="J76" s="258"/>
      <c r="K76" s="51">
        <f>$K$75/(1-(SUM($I$76:$J$78)))*I76</f>
        <v>1454.9550052016521</v>
      </c>
      <c r="L76" s="7"/>
    </row>
    <row r="77" spans="1:13" ht="15.75" x14ac:dyDescent="0.25">
      <c r="A77" s="7" t="s">
        <v>344</v>
      </c>
      <c r="C77" s="7" t="s">
        <v>45</v>
      </c>
      <c r="D77" s="7"/>
      <c r="E77" s="7"/>
      <c r="F77" s="7"/>
      <c r="G77" s="7"/>
      <c r="H77" s="7"/>
      <c r="I77" s="257">
        <f>Insumos!$B$19</f>
        <v>6.4999999999999997E-3</v>
      </c>
      <c r="J77" s="258"/>
      <c r="K77" s="51">
        <f>$K$75/(1-(SUM($I$76:$J$78)))*I77</f>
        <v>189.14415067621476</v>
      </c>
      <c r="L77" s="7"/>
    </row>
    <row r="78" spans="1:13" ht="15.75" x14ac:dyDescent="0.25">
      <c r="A78" s="7" t="s">
        <v>345</v>
      </c>
      <c r="C78" s="7" t="s">
        <v>46</v>
      </c>
      <c r="D78" s="7"/>
      <c r="E78" s="7"/>
      <c r="F78" s="7"/>
      <c r="G78" s="7"/>
      <c r="H78" s="7"/>
      <c r="I78" s="257">
        <f>Insumos!$B$20</f>
        <v>0.03</v>
      </c>
      <c r="J78" s="258"/>
      <c r="K78" s="51">
        <f>$K$75/(1-(SUM($I$76:$J$78)))*I78</f>
        <v>872.97300312099117</v>
      </c>
      <c r="L78" s="7"/>
    </row>
    <row r="79" spans="1:13" ht="21" customHeight="1" x14ac:dyDescent="0.3">
      <c r="A79" s="251" t="s">
        <v>48</v>
      </c>
      <c r="B79" s="252"/>
      <c r="C79" s="252"/>
      <c r="D79" s="252"/>
      <c r="E79" s="252"/>
      <c r="F79" s="252"/>
      <c r="G79" s="252"/>
      <c r="H79" s="252"/>
      <c r="I79" s="252"/>
      <c r="J79" s="253"/>
      <c r="K79" s="64">
        <f>SUM(K76:K78)</f>
        <v>2517.072158998858</v>
      </c>
      <c r="L79" s="54" t="s">
        <v>16</v>
      </c>
    </row>
    <row r="81" spans="1:20" x14ac:dyDescent="0.25">
      <c r="C81" s="5"/>
      <c r="D81" s="5"/>
      <c r="E81" s="5"/>
      <c r="F81" s="5"/>
      <c r="K81" s="2"/>
    </row>
    <row r="82" spans="1:20" ht="15.75" x14ac:dyDescent="0.25">
      <c r="A82" s="191" t="s">
        <v>56</v>
      </c>
      <c r="B82" s="191"/>
      <c r="C82" s="191"/>
      <c r="D82" s="191"/>
      <c r="E82" s="191"/>
      <c r="F82" s="191"/>
      <c r="G82" s="191"/>
      <c r="H82" s="191"/>
      <c r="I82" s="191"/>
      <c r="T82" s="43"/>
    </row>
    <row r="83" spans="1:20" ht="15.75" x14ac:dyDescent="0.25">
      <c r="A83" s="6"/>
      <c r="B83" s="6"/>
      <c r="C83" s="6"/>
      <c r="D83" s="6"/>
      <c r="E83" s="6"/>
      <c r="F83" s="6"/>
      <c r="G83" s="6"/>
      <c r="H83" s="6"/>
      <c r="I83" s="6"/>
    </row>
    <row r="84" spans="1:20" ht="15.75" x14ac:dyDescent="0.25">
      <c r="A84" s="191" t="s">
        <v>51</v>
      </c>
      <c r="B84" s="192"/>
      <c r="C84" s="192"/>
      <c r="D84" s="192"/>
      <c r="E84" s="192"/>
      <c r="F84" s="192"/>
      <c r="G84" s="192"/>
      <c r="H84" s="192"/>
    </row>
    <row r="85" spans="1:20" ht="20.25" customHeight="1" x14ac:dyDescent="0.3">
      <c r="A85" s="193" t="s">
        <v>135</v>
      </c>
      <c r="B85" s="193"/>
      <c r="C85" s="193"/>
      <c r="D85" s="193"/>
      <c r="E85" s="193"/>
      <c r="F85" s="193"/>
      <c r="G85" s="193"/>
      <c r="H85" s="193"/>
      <c r="I85" s="193"/>
      <c r="J85" s="193"/>
      <c r="K85" s="62">
        <f>K67+K72+K79</f>
        <v>29099.100104033041</v>
      </c>
    </row>
    <row r="86" spans="1:20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2"/>
    </row>
    <row r="87" spans="1:20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2"/>
      <c r="P87" s="42"/>
    </row>
    <row r="88" spans="1:20" ht="8.25" customHeight="1" x14ac:dyDescent="0.25"/>
    <row r="89" spans="1:20" ht="16.5" customHeight="1" x14ac:dyDescent="0.25">
      <c r="A89" s="194" t="s">
        <v>49</v>
      </c>
      <c r="B89" s="195"/>
      <c r="C89" s="195"/>
      <c r="D89" s="195"/>
      <c r="E89" s="195"/>
      <c r="F89" s="195"/>
      <c r="G89" s="195"/>
      <c r="H89" s="195"/>
      <c r="I89" s="195"/>
      <c r="J89" s="195"/>
      <c r="K89" s="7"/>
      <c r="L89" s="7"/>
    </row>
    <row r="90" spans="1:20" ht="24.75" customHeight="1" x14ac:dyDescent="0.3">
      <c r="A90" s="196" t="s">
        <v>141</v>
      </c>
      <c r="B90" s="196"/>
      <c r="C90" s="196"/>
      <c r="D90" s="196"/>
      <c r="E90" s="196"/>
      <c r="F90" s="196"/>
      <c r="G90" s="196"/>
      <c r="H90" s="196"/>
      <c r="I90" s="196"/>
      <c r="J90" s="196"/>
      <c r="K90" s="71">
        <f>K85/O18</f>
        <v>27.880712948196837</v>
      </c>
      <c r="L90" s="63" t="s">
        <v>50</v>
      </c>
    </row>
    <row r="94" spans="1:20" s="10" customFormat="1" x14ac:dyDescent="0.25"/>
    <row r="95" spans="1:20" s="11" customFormat="1" ht="18.75" x14ac:dyDescent="0.3">
      <c r="B95" s="12" t="s">
        <v>69</v>
      </c>
      <c r="D95" s="188" t="s">
        <v>65</v>
      </c>
      <c r="E95" s="188"/>
      <c r="L95" s="12" t="s">
        <v>69</v>
      </c>
      <c r="M95" s="12"/>
      <c r="N95" s="12" t="s">
        <v>75</v>
      </c>
      <c r="O95" s="12"/>
    </row>
    <row r="96" spans="1:20" s="11" customFormat="1" x14ac:dyDescent="0.25"/>
    <row r="97" spans="2:18" s="11" customFormat="1" x14ac:dyDescent="0.25">
      <c r="B97" s="184" t="s">
        <v>66</v>
      </c>
      <c r="C97" s="184"/>
      <c r="D97" s="13"/>
      <c r="E97" s="13"/>
      <c r="F97" s="189">
        <v>288912</v>
      </c>
      <c r="G97" s="189"/>
      <c r="L97" s="13" t="s">
        <v>66</v>
      </c>
      <c r="M97" s="13"/>
      <c r="N97" s="13"/>
      <c r="O97" s="13"/>
      <c r="P97" s="13"/>
      <c r="Q97" s="30">
        <v>271500</v>
      </c>
    </row>
    <row r="98" spans="2:18" s="11" customFormat="1" x14ac:dyDescent="0.25">
      <c r="B98" s="13" t="s">
        <v>67</v>
      </c>
      <c r="D98" s="13"/>
      <c r="E98" s="13"/>
      <c r="F98" s="185">
        <v>10</v>
      </c>
      <c r="G98" s="185"/>
      <c r="H98" s="11" t="s">
        <v>154</v>
      </c>
      <c r="L98" s="13" t="s">
        <v>67</v>
      </c>
      <c r="M98" s="13"/>
      <c r="N98" s="13"/>
      <c r="O98" s="13"/>
      <c r="P98" s="13"/>
      <c r="Q98" s="13">
        <v>10</v>
      </c>
      <c r="R98" s="11" t="s">
        <v>154</v>
      </c>
    </row>
    <row r="99" spans="2:18" s="11" customFormat="1" x14ac:dyDescent="0.25">
      <c r="B99" s="13" t="s">
        <v>81</v>
      </c>
      <c r="D99" s="13"/>
      <c r="E99" s="13"/>
      <c r="F99" s="14"/>
      <c r="G99" s="14">
        <v>2018</v>
      </c>
      <c r="L99" s="13" t="s">
        <v>81</v>
      </c>
      <c r="N99" s="13"/>
      <c r="O99" s="13"/>
      <c r="P99" s="14"/>
      <c r="Q99" s="14">
        <v>2018</v>
      </c>
    </row>
    <row r="100" spans="2:18" s="11" customFormat="1" x14ac:dyDescent="0.25">
      <c r="B100" s="184" t="s">
        <v>68</v>
      </c>
      <c r="C100" s="184"/>
      <c r="D100" s="184"/>
      <c r="F100" s="185">
        <v>6</v>
      </c>
      <c r="G100" s="185"/>
      <c r="L100" s="13" t="s">
        <v>76</v>
      </c>
      <c r="M100" s="13"/>
      <c r="N100" s="13"/>
      <c r="O100" s="13"/>
      <c r="P100" s="13"/>
      <c r="Q100" s="13">
        <v>6</v>
      </c>
    </row>
    <row r="101" spans="2:18" s="11" customFormat="1" x14ac:dyDescent="0.25">
      <c r="B101" s="184" t="s">
        <v>71</v>
      </c>
      <c r="C101" s="184"/>
      <c r="D101" s="184"/>
      <c r="F101" s="14"/>
      <c r="G101" s="17">
        <v>100000</v>
      </c>
      <c r="L101" s="13" t="s">
        <v>71</v>
      </c>
      <c r="M101" s="13"/>
      <c r="N101" s="13"/>
      <c r="O101" s="13"/>
      <c r="P101" s="13"/>
      <c r="Q101" s="19">
        <v>100000</v>
      </c>
    </row>
    <row r="102" spans="2:18" s="11" customFormat="1" x14ac:dyDescent="0.25">
      <c r="B102" s="184" t="s">
        <v>72</v>
      </c>
      <c r="C102" s="184"/>
      <c r="D102" s="184"/>
      <c r="F102" s="14"/>
      <c r="G102" s="20">
        <v>1533.77</v>
      </c>
      <c r="L102" s="13" t="s">
        <v>72</v>
      </c>
      <c r="M102" s="13"/>
      <c r="N102" s="13"/>
      <c r="O102" s="13"/>
      <c r="P102" s="13"/>
      <c r="Q102" s="69">
        <v>860.69</v>
      </c>
    </row>
    <row r="103" spans="2:18" s="11" customFormat="1" x14ac:dyDescent="0.25">
      <c r="B103" s="184" t="s">
        <v>73</v>
      </c>
      <c r="C103" s="184"/>
      <c r="D103" s="15"/>
      <c r="F103" s="14"/>
      <c r="G103" s="14">
        <v>2.6</v>
      </c>
      <c r="H103" s="13" t="s">
        <v>74</v>
      </c>
      <c r="L103" s="13" t="s">
        <v>73</v>
      </c>
      <c r="M103" s="13"/>
      <c r="N103" s="13"/>
      <c r="O103" s="13"/>
      <c r="P103" s="13"/>
      <c r="Q103" s="13">
        <v>4.7</v>
      </c>
    </row>
    <row r="104" spans="2:18" s="11" customFormat="1" x14ac:dyDescent="0.25">
      <c r="B104" s="184" t="s">
        <v>70</v>
      </c>
      <c r="C104" s="184"/>
      <c r="D104" s="184"/>
      <c r="F104" s="185" t="s">
        <v>125</v>
      </c>
      <c r="G104" s="185"/>
      <c r="L104" s="13" t="s">
        <v>70</v>
      </c>
      <c r="M104" s="13"/>
      <c r="N104" s="13"/>
      <c r="O104" s="13"/>
      <c r="P104" s="13"/>
      <c r="Q104" s="13" t="s">
        <v>124</v>
      </c>
    </row>
    <row r="105" spans="2:18" s="11" customFormat="1" x14ac:dyDescent="0.25"/>
    <row r="106" spans="2:18" s="11" customFormat="1" x14ac:dyDescent="0.25"/>
    <row r="107" spans="2:18" s="11" customFormat="1" ht="18.75" x14ac:dyDescent="0.3">
      <c r="B107" s="12" t="s">
        <v>69</v>
      </c>
      <c r="C107" s="12"/>
      <c r="D107" s="12" t="s">
        <v>77</v>
      </c>
      <c r="E107" s="13"/>
      <c r="F107" s="13"/>
      <c r="G107" s="13"/>
      <c r="H107" s="13"/>
      <c r="L107" s="12" t="s">
        <v>69</v>
      </c>
      <c r="M107" s="16"/>
      <c r="N107" s="16"/>
      <c r="O107" s="12" t="s">
        <v>78</v>
      </c>
    </row>
    <row r="108" spans="2:18" s="11" customFormat="1" x14ac:dyDescent="0.25">
      <c r="B108" s="13"/>
      <c r="C108" s="13"/>
      <c r="D108" s="13"/>
      <c r="E108" s="13"/>
      <c r="F108" s="13"/>
      <c r="G108" s="13"/>
      <c r="H108" s="13"/>
    </row>
    <row r="109" spans="2:18" s="11" customFormat="1" x14ac:dyDescent="0.25">
      <c r="B109" s="184" t="s">
        <v>66</v>
      </c>
      <c r="C109" s="184"/>
      <c r="D109" s="13"/>
      <c r="E109" s="13"/>
      <c r="F109" s="185">
        <v>400</v>
      </c>
      <c r="G109" s="185"/>
      <c r="H109" s="13"/>
      <c r="L109" s="184" t="s">
        <v>66</v>
      </c>
      <c r="M109" s="184"/>
      <c r="N109" s="13"/>
      <c r="O109" s="13"/>
      <c r="P109" s="185" t="s">
        <v>78</v>
      </c>
      <c r="Q109" s="185"/>
      <c r="R109" s="13"/>
    </row>
    <row r="110" spans="2:18" s="11" customFormat="1" x14ac:dyDescent="0.25">
      <c r="B110" s="13" t="s">
        <v>67</v>
      </c>
      <c r="C110" s="13"/>
      <c r="D110" s="13"/>
      <c r="E110" s="13"/>
      <c r="F110" s="185">
        <v>10</v>
      </c>
      <c r="G110" s="185"/>
      <c r="H110" s="13" t="s">
        <v>154</v>
      </c>
      <c r="L110" s="13" t="s">
        <v>67</v>
      </c>
      <c r="M110" s="13"/>
      <c r="N110" s="13"/>
      <c r="O110" s="13"/>
      <c r="P110" s="185">
        <v>8</v>
      </c>
      <c r="Q110" s="185"/>
      <c r="R110" s="13" t="s">
        <v>154</v>
      </c>
    </row>
    <row r="111" spans="2:18" s="11" customFormat="1" x14ac:dyDescent="0.25">
      <c r="B111" s="13" t="s">
        <v>81</v>
      </c>
      <c r="D111" s="13"/>
      <c r="E111" s="13"/>
      <c r="F111" s="14"/>
      <c r="G111" s="14" t="s">
        <v>82</v>
      </c>
      <c r="L111" s="13" t="s">
        <v>81</v>
      </c>
      <c r="N111" s="13"/>
      <c r="O111" s="13"/>
      <c r="P111" s="14"/>
      <c r="Q111" s="14" t="s">
        <v>83</v>
      </c>
      <c r="R111" s="13"/>
    </row>
    <row r="112" spans="2:18" s="11" customFormat="1" x14ac:dyDescent="0.25">
      <c r="B112" s="184" t="s">
        <v>68</v>
      </c>
      <c r="C112" s="184"/>
      <c r="D112" s="184"/>
      <c r="E112" s="13"/>
      <c r="F112" s="185" t="s">
        <v>87</v>
      </c>
      <c r="G112" s="185"/>
      <c r="H112" s="13"/>
      <c r="L112" s="184" t="s">
        <v>68</v>
      </c>
      <c r="M112" s="184"/>
      <c r="N112" s="184"/>
      <c r="O112" s="13"/>
      <c r="P112" s="185" t="s">
        <v>88</v>
      </c>
      <c r="Q112" s="185"/>
      <c r="R112" s="13"/>
    </row>
    <row r="113" spans="2:21" s="11" customFormat="1" x14ac:dyDescent="0.25">
      <c r="B113" s="184" t="s">
        <v>71</v>
      </c>
      <c r="C113" s="184"/>
      <c r="D113" s="184"/>
      <c r="E113" s="13"/>
      <c r="F113" s="14"/>
      <c r="G113" s="14" t="s">
        <v>89</v>
      </c>
      <c r="H113" s="13"/>
      <c r="L113" s="184" t="s">
        <v>71</v>
      </c>
      <c r="M113" s="184"/>
      <c r="N113" s="184"/>
      <c r="O113" s="13"/>
      <c r="P113" s="14"/>
      <c r="Q113" s="14" t="s">
        <v>90</v>
      </c>
      <c r="R113" s="13"/>
    </row>
    <row r="114" spans="2:21" s="11" customFormat="1" x14ac:dyDescent="0.25">
      <c r="B114" s="184" t="s">
        <v>72</v>
      </c>
      <c r="C114" s="184"/>
      <c r="D114" s="184"/>
      <c r="E114" s="13"/>
      <c r="F114" s="14"/>
      <c r="G114" s="14">
        <v>400</v>
      </c>
      <c r="H114" s="13"/>
      <c r="L114" s="184" t="s">
        <v>72</v>
      </c>
      <c r="M114" s="184"/>
      <c r="N114" s="184"/>
      <c r="O114" s="13"/>
      <c r="P114" s="14"/>
      <c r="Q114" s="14">
        <v>4444</v>
      </c>
      <c r="R114" s="13"/>
    </row>
    <row r="115" spans="2:21" s="11" customFormat="1" x14ac:dyDescent="0.25">
      <c r="B115" s="184" t="s">
        <v>73</v>
      </c>
      <c r="C115" s="184"/>
      <c r="D115" s="15"/>
      <c r="E115" s="13"/>
      <c r="F115" s="14"/>
      <c r="G115" s="14">
        <v>2</v>
      </c>
      <c r="H115" s="13" t="s">
        <v>74</v>
      </c>
      <c r="L115" s="184" t="s">
        <v>73</v>
      </c>
      <c r="M115" s="184"/>
      <c r="N115" s="15"/>
      <c r="O115" s="13"/>
      <c r="P115" s="14"/>
      <c r="Q115" s="14">
        <v>4</v>
      </c>
      <c r="R115" s="13" t="s">
        <v>74</v>
      </c>
    </row>
    <row r="116" spans="2:21" s="11" customFormat="1" x14ac:dyDescent="0.25">
      <c r="B116" s="184" t="s">
        <v>70</v>
      </c>
      <c r="C116" s="184"/>
      <c r="D116" s="184"/>
      <c r="E116" s="13"/>
      <c r="F116" s="185" t="s">
        <v>85</v>
      </c>
      <c r="G116" s="185"/>
      <c r="H116" s="13"/>
      <c r="L116" s="184" t="s">
        <v>70</v>
      </c>
      <c r="M116" s="184"/>
      <c r="N116" s="184"/>
      <c r="O116" s="13"/>
      <c r="P116" s="185" t="s">
        <v>86</v>
      </c>
      <c r="Q116" s="185"/>
      <c r="R116" s="13"/>
    </row>
    <row r="117" spans="2:21" s="11" customFormat="1" x14ac:dyDescent="0.25"/>
    <row r="118" spans="2:21" s="11" customFormat="1" x14ac:dyDescent="0.25"/>
    <row r="119" spans="2:21" s="11" customFormat="1" ht="18.75" x14ac:dyDescent="0.3">
      <c r="Q119" s="12" t="s">
        <v>65</v>
      </c>
      <c r="R119" s="12"/>
      <c r="T119" s="13" t="s">
        <v>130</v>
      </c>
      <c r="U119" s="13"/>
    </row>
    <row r="120" spans="2:21" s="11" customFormat="1" ht="18.75" x14ac:dyDescent="0.3">
      <c r="Q120" s="12" t="s">
        <v>75</v>
      </c>
      <c r="T120" s="13" t="s">
        <v>129</v>
      </c>
      <c r="U120" s="13"/>
    </row>
    <row r="121" spans="2:21" s="11" customFormat="1" ht="18.75" x14ac:dyDescent="0.3">
      <c r="Q121" s="12" t="s">
        <v>77</v>
      </c>
    </row>
    <row r="122" spans="2:21" s="11" customFormat="1" ht="18" customHeight="1" x14ac:dyDescent="0.3">
      <c r="B122" s="186" t="s">
        <v>172</v>
      </c>
      <c r="C122" s="186"/>
      <c r="Q122" s="12" t="s">
        <v>78</v>
      </c>
    </row>
    <row r="123" spans="2:21" ht="0.75" hidden="1" customHeight="1" x14ac:dyDescent="0.25">
      <c r="B123" s="186"/>
      <c r="C123" s="186"/>
    </row>
    <row r="124" spans="2:21" hidden="1" x14ac:dyDescent="0.25">
      <c r="B124" s="186"/>
      <c r="C124" s="186"/>
    </row>
    <row r="125" spans="2:21" x14ac:dyDescent="0.25">
      <c r="B125" s="186"/>
      <c r="C125" s="186"/>
    </row>
    <row r="126" spans="2:21" ht="24.75" x14ac:dyDescent="0.25">
      <c r="B126" s="94" t="s">
        <v>173</v>
      </c>
      <c r="C126" s="9" t="s">
        <v>174</v>
      </c>
      <c r="D126" s="9"/>
      <c r="E126" s="9"/>
      <c r="F126" s="9" t="s">
        <v>175</v>
      </c>
      <c r="G126" s="9"/>
      <c r="H126" s="9"/>
      <c r="I126" s="9" t="s">
        <v>176</v>
      </c>
      <c r="J126" s="9"/>
      <c r="K126" s="9"/>
      <c r="L126" s="9" t="s">
        <v>177</v>
      </c>
      <c r="M126" s="9"/>
      <c r="N126" s="9"/>
    </row>
    <row r="127" spans="2:21" x14ac:dyDescent="0.25">
      <c r="B127" s="5">
        <v>40</v>
      </c>
      <c r="C127" s="2">
        <f>$K$42*(B127*21)</f>
        <v>4049.0369329846144</v>
      </c>
      <c r="F127" s="2">
        <f>(C127+$K$65)*0.05</f>
        <v>1159.2990955593639</v>
      </c>
      <c r="I127" s="2">
        <f>(C127+$K$65+F127)*6%</f>
        <v>1460.7168604047984</v>
      </c>
      <c r="L127" s="31">
        <f>(C127+$K$65+F127+I127)*14.25%</f>
        <v>3677.3546960690801</v>
      </c>
      <c r="M127" s="9"/>
      <c r="N127" s="9"/>
    </row>
    <row r="128" spans="2:21" x14ac:dyDescent="0.25">
      <c r="B128" s="5">
        <v>50</v>
      </c>
      <c r="C128" s="2">
        <f t="shared" ref="C128:C139" si="0">$K$42*(B128*21)</f>
        <v>5061.296166230768</v>
      </c>
      <c r="F128" s="2">
        <f t="shared" ref="F128:F139" si="1">(C128+$K$65)*0.05</f>
        <v>1209.9120572216716</v>
      </c>
      <c r="I128" s="2">
        <f t="shared" ref="I128:I139" si="2">(C128+$K$65+F128)*6%</f>
        <v>1524.4891920993061</v>
      </c>
      <c r="L128" s="31">
        <f t="shared" ref="L128:L139" si="3">(C128+$K$65+F128+I128)*14.25%</f>
        <v>3837.9015411100031</v>
      </c>
      <c r="M128" s="9"/>
      <c r="N128" s="9"/>
    </row>
    <row r="129" spans="2:14" x14ac:dyDescent="0.25">
      <c r="B129" s="5">
        <v>60</v>
      </c>
      <c r="C129" s="2">
        <f t="shared" si="0"/>
        <v>6073.5553994769216</v>
      </c>
      <c r="F129" s="2">
        <f t="shared" si="1"/>
        <v>1260.5250188839793</v>
      </c>
      <c r="I129" s="2">
        <f t="shared" si="2"/>
        <v>1588.2615237938137</v>
      </c>
      <c r="L129" s="31">
        <f t="shared" si="3"/>
        <v>3998.4483861509261</v>
      </c>
      <c r="M129" s="9"/>
      <c r="N129" s="9"/>
    </row>
    <row r="130" spans="2:14" x14ac:dyDescent="0.25">
      <c r="B130" s="5">
        <v>70</v>
      </c>
      <c r="C130" s="2">
        <f t="shared" si="0"/>
        <v>7085.8146327230752</v>
      </c>
      <c r="F130" s="2">
        <f t="shared" si="1"/>
        <v>1311.1379805462871</v>
      </c>
      <c r="I130" s="2">
        <f t="shared" si="2"/>
        <v>1652.0338554883215</v>
      </c>
      <c r="L130" s="31">
        <f t="shared" si="3"/>
        <v>4158.9952311918487</v>
      </c>
      <c r="M130" s="9"/>
      <c r="N130" s="9"/>
    </row>
    <row r="131" spans="2:14" x14ac:dyDescent="0.25">
      <c r="B131" s="5">
        <v>80</v>
      </c>
      <c r="C131" s="2">
        <f t="shared" si="0"/>
        <v>8098.0738659692288</v>
      </c>
      <c r="F131" s="2">
        <f t="shared" si="1"/>
        <v>1361.7509422085948</v>
      </c>
      <c r="I131" s="2">
        <f t="shared" si="2"/>
        <v>1715.806187182829</v>
      </c>
      <c r="L131" s="31">
        <f t="shared" si="3"/>
        <v>4319.5420762327722</v>
      </c>
      <c r="M131" s="9"/>
      <c r="N131" s="9"/>
    </row>
    <row r="132" spans="2:14" x14ac:dyDescent="0.25">
      <c r="B132" s="5">
        <v>90</v>
      </c>
      <c r="C132" s="2">
        <f t="shared" si="0"/>
        <v>9110.3330992153824</v>
      </c>
      <c r="F132" s="2">
        <f t="shared" si="1"/>
        <v>1412.3639038709025</v>
      </c>
      <c r="I132" s="2">
        <f t="shared" si="2"/>
        <v>1779.578518877337</v>
      </c>
      <c r="L132" s="31">
        <f t="shared" si="3"/>
        <v>4480.0889212736956</v>
      </c>
      <c r="M132" s="9"/>
      <c r="N132" s="9"/>
    </row>
    <row r="133" spans="2:14" x14ac:dyDescent="0.25">
      <c r="B133" s="5">
        <v>100</v>
      </c>
      <c r="C133" s="2">
        <f t="shared" si="0"/>
        <v>10122.592332461536</v>
      </c>
      <c r="F133" s="2">
        <f t="shared" si="1"/>
        <v>1462.97686553321</v>
      </c>
      <c r="I133" s="2">
        <f t="shared" si="2"/>
        <v>1843.3508505718444</v>
      </c>
      <c r="L133" s="31">
        <f t="shared" si="3"/>
        <v>4640.6357663146182</v>
      </c>
      <c r="M133" s="9"/>
      <c r="N133" s="9"/>
    </row>
    <row r="134" spans="2:14" x14ac:dyDescent="0.25">
      <c r="B134" s="5">
        <v>110</v>
      </c>
      <c r="C134" s="2">
        <f t="shared" si="0"/>
        <v>11134.85156570769</v>
      </c>
      <c r="F134" s="2">
        <f t="shared" si="1"/>
        <v>1513.5898271955177</v>
      </c>
      <c r="I134" s="2">
        <f t="shared" si="2"/>
        <v>1907.1231822663524</v>
      </c>
      <c r="L134" s="31">
        <f t="shared" si="3"/>
        <v>4801.1826113555417</v>
      </c>
      <c r="M134" s="9"/>
      <c r="N134" s="9"/>
    </row>
    <row r="135" spans="2:14" x14ac:dyDescent="0.25">
      <c r="B135" s="5">
        <v>120</v>
      </c>
      <c r="C135" s="2">
        <f t="shared" si="0"/>
        <v>12147.110798953843</v>
      </c>
      <c r="F135" s="2">
        <f t="shared" si="1"/>
        <v>1564.2027888578255</v>
      </c>
      <c r="I135" s="2">
        <f t="shared" si="2"/>
        <v>1970.8955139608597</v>
      </c>
      <c r="L135" s="31">
        <f t="shared" si="3"/>
        <v>4961.7294563964642</v>
      </c>
      <c r="M135" s="9"/>
      <c r="N135" s="9"/>
    </row>
    <row r="136" spans="2:14" x14ac:dyDescent="0.25">
      <c r="B136" s="5">
        <v>130</v>
      </c>
      <c r="C136" s="2">
        <f t="shared" si="0"/>
        <v>13159.370032199997</v>
      </c>
      <c r="F136" s="2">
        <f t="shared" si="1"/>
        <v>1614.8157505201332</v>
      </c>
      <c r="I136" s="2">
        <f t="shared" si="2"/>
        <v>2034.6678456553677</v>
      </c>
      <c r="L136" s="31">
        <f t="shared" si="3"/>
        <v>5122.2763014373886</v>
      </c>
      <c r="M136" s="9"/>
      <c r="N136" s="9"/>
    </row>
    <row r="137" spans="2:14" x14ac:dyDescent="0.25">
      <c r="B137" s="5">
        <v>140</v>
      </c>
      <c r="C137" s="2">
        <f t="shared" si="0"/>
        <v>14171.62926544615</v>
      </c>
      <c r="F137" s="2">
        <f t="shared" si="1"/>
        <v>1665.4287121824409</v>
      </c>
      <c r="I137" s="2">
        <f t="shared" si="2"/>
        <v>2098.4401773498753</v>
      </c>
      <c r="L137" s="31">
        <f t="shared" si="3"/>
        <v>5282.8231464783103</v>
      </c>
      <c r="M137" s="9"/>
      <c r="N137" s="9"/>
    </row>
    <row r="138" spans="2:14" x14ac:dyDescent="0.25">
      <c r="B138" s="5">
        <v>150</v>
      </c>
      <c r="C138" s="2">
        <f t="shared" si="0"/>
        <v>15183.888498692304</v>
      </c>
      <c r="F138" s="2">
        <f t="shared" si="1"/>
        <v>1716.0416738447486</v>
      </c>
      <c r="I138" s="2">
        <f t="shared" si="2"/>
        <v>2162.2125090443828</v>
      </c>
      <c r="L138" s="31">
        <f t="shared" si="3"/>
        <v>5443.3699915192337</v>
      </c>
      <c r="M138" s="9"/>
      <c r="N138" s="9"/>
    </row>
    <row r="139" spans="2:14" x14ac:dyDescent="0.25">
      <c r="B139" s="5">
        <v>160</v>
      </c>
      <c r="C139" s="2">
        <f t="shared" si="0"/>
        <v>16196.147731938458</v>
      </c>
      <c r="F139" s="2">
        <f t="shared" si="1"/>
        <v>1766.6546355070561</v>
      </c>
      <c r="I139" s="2">
        <f t="shared" si="2"/>
        <v>2225.9848407388904</v>
      </c>
      <c r="L139" s="31">
        <f t="shared" si="3"/>
        <v>5603.9168365601563</v>
      </c>
      <c r="M139" s="9"/>
      <c r="N139" s="9"/>
    </row>
    <row r="140" spans="2:14" x14ac:dyDescent="0.25">
      <c r="B140" s="5"/>
    </row>
    <row r="143" spans="2:14" x14ac:dyDescent="0.25">
      <c r="B143" s="187" t="s">
        <v>178</v>
      </c>
      <c r="C143" s="187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</row>
    <row r="144" spans="2:14" x14ac:dyDescent="0.25">
      <c r="B144" s="187"/>
      <c r="C144" s="187"/>
    </row>
    <row r="145" spans="2:14" x14ac:dyDescent="0.25">
      <c r="B145" s="187"/>
      <c r="C145" s="187"/>
    </row>
    <row r="146" spans="2:14" x14ac:dyDescent="0.25">
      <c r="B146" s="187"/>
      <c r="C146" s="187"/>
    </row>
    <row r="147" spans="2:14" ht="24.75" x14ac:dyDescent="0.25">
      <c r="B147" s="94" t="s">
        <v>173</v>
      </c>
      <c r="C147" s="9" t="s">
        <v>174</v>
      </c>
      <c r="D147" s="9"/>
      <c r="E147" s="9"/>
      <c r="F147" s="9" t="s">
        <v>175</v>
      </c>
      <c r="G147" s="9"/>
      <c r="H147" s="9"/>
      <c r="I147" s="9" t="s">
        <v>176</v>
      </c>
      <c r="J147" s="9"/>
      <c r="K147" s="9"/>
      <c r="L147" s="9" t="s">
        <v>177</v>
      </c>
      <c r="M147" s="9"/>
      <c r="N147" s="9"/>
    </row>
    <row r="148" spans="2:14" x14ac:dyDescent="0.25">
      <c r="B148" s="5">
        <v>40</v>
      </c>
      <c r="C148" s="2">
        <f>($K$42*(B148*21))*1.154</f>
        <v>4672.5886206642444</v>
      </c>
      <c r="F148" s="2">
        <f>(C148+$K$65)*0.05</f>
        <v>1190.4766799433455</v>
      </c>
      <c r="I148" s="2">
        <f>(C148+$K$65+F148)*6%</f>
        <v>1500.0006167286153</v>
      </c>
      <c r="L148" s="31">
        <f>(C148+$K$65+F148+I148)*14.25%</f>
        <v>3776.2515526142888</v>
      </c>
      <c r="M148" s="9"/>
      <c r="N148" s="9"/>
    </row>
    <row r="149" spans="2:14" x14ac:dyDescent="0.25">
      <c r="B149" s="5">
        <v>50</v>
      </c>
      <c r="C149" s="2">
        <f t="shared" ref="C149:C160" si="4">($K$42*(B149*21))*1.154</f>
        <v>5840.735775830306</v>
      </c>
      <c r="F149" s="2">
        <f t="shared" ref="F149:F160" si="5">(C149+$K$65)*0.05</f>
        <v>1248.8840377016486</v>
      </c>
      <c r="I149" s="2">
        <f t="shared" ref="I149:I160" si="6">(C149+$K$65+F149)*6%</f>
        <v>1573.593887504077</v>
      </c>
      <c r="L149" s="31">
        <f t="shared" ref="L149:L160" si="7">(C149+$K$65+F149+I149)*14.25%</f>
        <v>3961.5226117915136</v>
      </c>
      <c r="M149" s="9"/>
      <c r="N149" s="9"/>
    </row>
    <row r="150" spans="2:14" x14ac:dyDescent="0.25">
      <c r="B150" s="5">
        <v>60</v>
      </c>
      <c r="C150" s="2">
        <f t="shared" si="4"/>
        <v>7008.8829309963667</v>
      </c>
      <c r="F150" s="2">
        <f t="shared" si="5"/>
        <v>1307.2913954599517</v>
      </c>
      <c r="I150" s="2">
        <f t="shared" si="6"/>
        <v>1647.1871582795388</v>
      </c>
      <c r="L150" s="31">
        <f t="shared" si="7"/>
        <v>4146.7936709687392</v>
      </c>
      <c r="M150" s="9"/>
      <c r="N150" s="9"/>
    </row>
    <row r="151" spans="2:14" x14ac:dyDescent="0.25">
      <c r="B151" s="5">
        <v>70</v>
      </c>
      <c r="C151" s="2">
        <f t="shared" si="4"/>
        <v>8177.0300861624282</v>
      </c>
      <c r="F151" s="2">
        <f t="shared" si="5"/>
        <v>1365.6987532182548</v>
      </c>
      <c r="I151" s="2">
        <f t="shared" si="6"/>
        <v>1720.7804290550007</v>
      </c>
      <c r="L151" s="31">
        <f t="shared" si="7"/>
        <v>4332.0647301459639</v>
      </c>
      <c r="M151" s="9"/>
      <c r="N151" s="9"/>
    </row>
    <row r="152" spans="2:14" x14ac:dyDescent="0.25">
      <c r="B152" s="5">
        <v>80</v>
      </c>
      <c r="C152" s="2">
        <f t="shared" si="4"/>
        <v>9345.1772413284889</v>
      </c>
      <c r="F152" s="2">
        <f t="shared" si="5"/>
        <v>1424.1061109765578</v>
      </c>
      <c r="I152" s="2">
        <f t="shared" si="6"/>
        <v>1794.3736998304626</v>
      </c>
      <c r="L152" s="31">
        <f t="shared" si="7"/>
        <v>4517.3357893231896</v>
      </c>
      <c r="M152" s="9"/>
      <c r="N152" s="9"/>
    </row>
    <row r="153" spans="2:14" x14ac:dyDescent="0.25">
      <c r="B153" s="5">
        <v>90</v>
      </c>
      <c r="C153" s="2">
        <f t="shared" si="4"/>
        <v>10513.32439649455</v>
      </c>
      <c r="F153" s="2">
        <f t="shared" si="5"/>
        <v>1482.5134687348609</v>
      </c>
      <c r="I153" s="2">
        <f t="shared" si="6"/>
        <v>1867.9669706059244</v>
      </c>
      <c r="L153" s="31">
        <f t="shared" si="7"/>
        <v>4702.6068485004143</v>
      </c>
      <c r="M153" s="9"/>
      <c r="N153" s="9"/>
    </row>
    <row r="154" spans="2:14" x14ac:dyDescent="0.25">
      <c r="B154" s="5">
        <v>100</v>
      </c>
      <c r="C154" s="2">
        <f t="shared" si="4"/>
        <v>11681.471551660612</v>
      </c>
      <c r="F154" s="2">
        <f t="shared" si="5"/>
        <v>1540.920826493164</v>
      </c>
      <c r="I154" s="2">
        <f t="shared" si="6"/>
        <v>1941.5602413813863</v>
      </c>
      <c r="L154" s="31">
        <f t="shared" si="7"/>
        <v>4887.8779076776391</v>
      </c>
      <c r="M154" s="9"/>
      <c r="N154" s="9"/>
    </row>
    <row r="155" spans="2:14" x14ac:dyDescent="0.25">
      <c r="B155" s="5">
        <v>110</v>
      </c>
      <c r="C155" s="2">
        <f t="shared" si="4"/>
        <v>12849.618706826674</v>
      </c>
      <c r="F155" s="2">
        <f t="shared" si="5"/>
        <v>1599.3281842514671</v>
      </c>
      <c r="I155" s="2">
        <f t="shared" si="6"/>
        <v>2015.1535121568484</v>
      </c>
      <c r="L155" s="31">
        <f t="shared" si="7"/>
        <v>5073.1489668548647</v>
      </c>
      <c r="M155" s="9"/>
      <c r="N155" s="9"/>
    </row>
    <row r="156" spans="2:14" x14ac:dyDescent="0.25">
      <c r="B156" s="5">
        <v>120</v>
      </c>
      <c r="C156" s="2">
        <f t="shared" si="4"/>
        <v>14017.765861992733</v>
      </c>
      <c r="F156" s="2">
        <f t="shared" si="5"/>
        <v>1657.7355420097699</v>
      </c>
      <c r="I156" s="2">
        <f t="shared" si="6"/>
        <v>2088.7467829323095</v>
      </c>
      <c r="L156" s="31">
        <f t="shared" si="7"/>
        <v>5258.4200260320886</v>
      </c>
      <c r="M156" s="9"/>
      <c r="N156" s="9"/>
    </row>
    <row r="157" spans="2:14" x14ac:dyDescent="0.25">
      <c r="B157" s="5">
        <v>130</v>
      </c>
      <c r="C157" s="2">
        <f t="shared" si="4"/>
        <v>15185.913017158795</v>
      </c>
      <c r="F157" s="2">
        <f t="shared" si="5"/>
        <v>1716.1428997680732</v>
      </c>
      <c r="I157" s="2">
        <f t="shared" si="6"/>
        <v>2162.3400537077719</v>
      </c>
      <c r="L157" s="31">
        <f t="shared" si="7"/>
        <v>5443.6910852093151</v>
      </c>
      <c r="M157" s="9"/>
      <c r="N157" s="9"/>
    </row>
    <row r="158" spans="2:14" x14ac:dyDescent="0.25">
      <c r="B158" s="5">
        <v>140</v>
      </c>
      <c r="C158" s="2">
        <f t="shared" si="4"/>
        <v>16354.060172324856</v>
      </c>
      <c r="F158" s="2">
        <f t="shared" si="5"/>
        <v>1774.5502575263761</v>
      </c>
      <c r="I158" s="2">
        <f t="shared" si="6"/>
        <v>2235.9333244832337</v>
      </c>
      <c r="L158" s="31">
        <f t="shared" si="7"/>
        <v>5628.9621443865399</v>
      </c>
      <c r="M158" s="9"/>
      <c r="N158" s="9"/>
    </row>
    <row r="159" spans="2:14" x14ac:dyDescent="0.25">
      <c r="B159" s="5">
        <v>150</v>
      </c>
      <c r="C159" s="2">
        <f t="shared" si="4"/>
        <v>17522.207327490916</v>
      </c>
      <c r="F159" s="2">
        <f t="shared" si="5"/>
        <v>1832.9576152846794</v>
      </c>
      <c r="I159" s="2">
        <f t="shared" si="6"/>
        <v>2309.5265952586956</v>
      </c>
      <c r="L159" s="31">
        <f t="shared" si="7"/>
        <v>5814.2332035637655</v>
      </c>
      <c r="M159" s="9"/>
      <c r="N159" s="9"/>
    </row>
    <row r="160" spans="2:14" x14ac:dyDescent="0.25">
      <c r="B160" s="5">
        <v>160</v>
      </c>
      <c r="C160" s="2">
        <f t="shared" si="4"/>
        <v>18690.354482656978</v>
      </c>
      <c r="F160" s="2">
        <f t="shared" si="5"/>
        <v>1891.3649730429822</v>
      </c>
      <c r="I160" s="2">
        <f t="shared" si="6"/>
        <v>2383.1198660341574</v>
      </c>
      <c r="L160" s="31">
        <f t="shared" si="7"/>
        <v>5999.5042627409903</v>
      </c>
      <c r="M160" s="9"/>
      <c r="N160" s="9"/>
    </row>
  </sheetData>
  <mergeCells count="121">
    <mergeCell ref="B116:D116"/>
    <mergeCell ref="F116:G116"/>
    <mergeCell ref="L116:N116"/>
    <mergeCell ref="P116:Q116"/>
    <mergeCell ref="B122:C125"/>
    <mergeCell ref="B143:C146"/>
    <mergeCell ref="B113:D113"/>
    <mergeCell ref="L113:N113"/>
    <mergeCell ref="B114:D114"/>
    <mergeCell ref="L114:N114"/>
    <mergeCell ref="B115:C115"/>
    <mergeCell ref="L115:M115"/>
    <mergeCell ref="L109:M109"/>
    <mergeCell ref="P109:Q109"/>
    <mergeCell ref="F110:G110"/>
    <mergeCell ref="P110:Q110"/>
    <mergeCell ref="B112:D112"/>
    <mergeCell ref="F112:G112"/>
    <mergeCell ref="L112:N112"/>
    <mergeCell ref="P112:Q112"/>
    <mergeCell ref="B101:D101"/>
    <mergeCell ref="B102:D102"/>
    <mergeCell ref="B103:C103"/>
    <mergeCell ref="B104:D104"/>
    <mergeCell ref="F104:G104"/>
    <mergeCell ref="B109:C109"/>
    <mergeCell ref="F109:G109"/>
    <mergeCell ref="D95:E95"/>
    <mergeCell ref="B97:C97"/>
    <mergeCell ref="F97:G97"/>
    <mergeCell ref="F98:G98"/>
    <mergeCell ref="B100:D100"/>
    <mergeCell ref="F100:G100"/>
    <mergeCell ref="A79:J79"/>
    <mergeCell ref="A82:I82"/>
    <mergeCell ref="A84:H84"/>
    <mergeCell ref="A85:J85"/>
    <mergeCell ref="A89:J89"/>
    <mergeCell ref="A90:J90"/>
    <mergeCell ref="A74:E74"/>
    <mergeCell ref="A75:F75"/>
    <mergeCell ref="I75:J75"/>
    <mergeCell ref="I76:J76"/>
    <mergeCell ref="I77:J77"/>
    <mergeCell ref="I78:J78"/>
    <mergeCell ref="A65:J65"/>
    <mergeCell ref="A67:I67"/>
    <mergeCell ref="A69:E69"/>
    <mergeCell ref="I69:J69"/>
    <mergeCell ref="C70:F70"/>
    <mergeCell ref="C71:F71"/>
    <mergeCell ref="C54:F54"/>
    <mergeCell ref="C55:F55"/>
    <mergeCell ref="C58:F58"/>
    <mergeCell ref="C60:G60"/>
    <mergeCell ref="C62:E62"/>
    <mergeCell ref="C63:F63"/>
    <mergeCell ref="A49:E49"/>
    <mergeCell ref="H50:I50"/>
    <mergeCell ref="C51:F51"/>
    <mergeCell ref="H51:I51"/>
    <mergeCell ref="C52:F52"/>
    <mergeCell ref="C53:F53"/>
    <mergeCell ref="B41:D41"/>
    <mergeCell ref="F41:H41"/>
    <mergeCell ref="A42:E42"/>
    <mergeCell ref="A43:J43"/>
    <mergeCell ref="A45:J45"/>
    <mergeCell ref="A47:J47"/>
    <mergeCell ref="A36:E36"/>
    <mergeCell ref="B37:D37"/>
    <mergeCell ref="E37:F37"/>
    <mergeCell ref="B38:D38"/>
    <mergeCell ref="B39:D39"/>
    <mergeCell ref="B40:D40"/>
    <mergeCell ref="A28:D28"/>
    <mergeCell ref="E28:F28"/>
    <mergeCell ref="A31:F31"/>
    <mergeCell ref="A32:D32"/>
    <mergeCell ref="E32:F32"/>
    <mergeCell ref="A33:D33"/>
    <mergeCell ref="A25:D25"/>
    <mergeCell ref="E25:F25"/>
    <mergeCell ref="A26:D26"/>
    <mergeCell ref="E26:F26"/>
    <mergeCell ref="A27:D27"/>
    <mergeCell ref="E27:F27"/>
    <mergeCell ref="K18:N18"/>
    <mergeCell ref="A19:F19"/>
    <mergeCell ref="A20:F20"/>
    <mergeCell ref="A23:F23"/>
    <mergeCell ref="A24:D24"/>
    <mergeCell ref="E24:F24"/>
    <mergeCell ref="A16:D16"/>
    <mergeCell ref="E16:F16"/>
    <mergeCell ref="K16:N17"/>
    <mergeCell ref="H20:N21"/>
    <mergeCell ref="O16:O17"/>
    <mergeCell ref="P16:P17"/>
    <mergeCell ref="T17:V17"/>
    <mergeCell ref="A14:D14"/>
    <mergeCell ref="E14:F14"/>
    <mergeCell ref="K14:N15"/>
    <mergeCell ref="O14:O15"/>
    <mergeCell ref="P14:P15"/>
    <mergeCell ref="E15:F15"/>
    <mergeCell ref="A11:F11"/>
    <mergeCell ref="K11:N11"/>
    <mergeCell ref="A12:C12"/>
    <mergeCell ref="E12:F12"/>
    <mergeCell ref="K12:N12"/>
    <mergeCell ref="A13:D13"/>
    <mergeCell ref="E13:F13"/>
    <mergeCell ref="K13:N13"/>
    <mergeCell ref="C2:F6"/>
    <mergeCell ref="H3:P5"/>
    <mergeCell ref="F7:H7"/>
    <mergeCell ref="K7:N7"/>
    <mergeCell ref="B8:C8"/>
    <mergeCell ref="I9:P9"/>
    <mergeCell ref="A9:F9"/>
  </mergeCells>
  <conditionalFormatting sqref="P19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{C600F087-2904-4E46-BB0E-1F0348A09374}</x14:id>
        </ext>
      </extLst>
    </cfRule>
  </conditionalFormatting>
  <dataValidations disablePrompts="1" count="3">
    <dataValidation type="list" allowBlank="1" showInputMessage="1" showErrorMessage="1" sqref="E15:F15">
      <formula1>"0,1,2,3,4,5,6,7,8,9,10,11,12,13,14,15"</formula1>
    </dataValidation>
    <dataValidation type="list" allowBlank="1" showInputMessage="1" showErrorMessage="1" sqref="L51">
      <formula1>"LINEAR, MÉTODO COLE"</formula1>
    </dataValidation>
    <dataValidation type="list" allowBlank="1" showInputMessage="1" showErrorMessage="1" sqref="F7:H7 T17:V17">
      <formula1>$Q$119:$Q$122</formula1>
    </dataValidation>
  </dataValidations>
  <pageMargins left="0.51181102362204722" right="0.51181102362204722" top="0.78740157480314965" bottom="0.78740157480314965" header="0.31496062992125984" footer="0.31496062992125984"/>
  <pageSetup paperSize="9" scale="50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600F087-2904-4E46-BB0E-1F0348A0937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P19</xm:sqref>
        </x14:conditionalFormatting>
      </x14:conditionalFormatting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52">
    <tabColor rgb="FF00B0F0"/>
  </sheetPr>
  <dimension ref="A2:V160"/>
  <sheetViews>
    <sheetView tabSelected="1" view="pageBreakPreview" topLeftCell="A43" zoomScale="85" zoomScaleNormal="100" zoomScaleSheetLayoutView="85" workbookViewId="0">
      <selection activeCell="A57" sqref="A57"/>
    </sheetView>
  </sheetViews>
  <sheetFormatPr defaultColWidth="8.85546875" defaultRowHeight="15" x14ac:dyDescent="0.25"/>
  <cols>
    <col min="2" max="2" width="14.140625" customWidth="1"/>
    <col min="3" max="3" width="15.28515625" customWidth="1"/>
    <col min="5" max="5" width="12.42578125" customWidth="1"/>
    <col min="6" max="6" width="13.5703125" customWidth="1"/>
    <col min="7" max="7" width="12.140625" customWidth="1"/>
    <col min="9" max="9" width="10.7109375" customWidth="1"/>
    <col min="10" max="10" width="12.140625" bestFit="1" customWidth="1"/>
    <col min="11" max="11" width="16.42578125" bestFit="1" customWidth="1"/>
    <col min="12" max="12" width="14.42578125" customWidth="1"/>
    <col min="14" max="14" width="6.42578125" customWidth="1"/>
    <col min="15" max="15" width="9" customWidth="1"/>
    <col min="16" max="16" width="10.42578125" customWidth="1"/>
    <col min="17" max="17" width="15.140625" customWidth="1"/>
    <col min="18" max="18" width="14.7109375" bestFit="1" customWidth="1"/>
    <col min="19" max="19" width="19.42578125" bestFit="1" customWidth="1"/>
  </cols>
  <sheetData>
    <row r="2" spans="1:19" x14ac:dyDescent="0.25">
      <c r="C2" s="239" t="s">
        <v>151</v>
      </c>
      <c r="D2" s="240"/>
      <c r="E2" s="240"/>
      <c r="F2" s="240"/>
    </row>
    <row r="3" spans="1:19" x14ac:dyDescent="0.25">
      <c r="C3" s="240"/>
      <c r="D3" s="240"/>
      <c r="E3" s="240"/>
      <c r="F3" s="240"/>
      <c r="H3" s="241" t="s">
        <v>64</v>
      </c>
      <c r="I3" s="239"/>
      <c r="J3" s="239"/>
      <c r="K3" s="239"/>
      <c r="L3" s="239"/>
      <c r="M3" s="239"/>
      <c r="N3" s="239"/>
      <c r="O3" s="239"/>
      <c r="P3" s="239"/>
    </row>
    <row r="4" spans="1:19" x14ac:dyDescent="0.25">
      <c r="C4" s="240"/>
      <c r="D4" s="240"/>
      <c r="E4" s="240"/>
      <c r="F4" s="240"/>
      <c r="H4" s="239"/>
      <c r="I4" s="239"/>
      <c r="J4" s="239"/>
      <c r="K4" s="239"/>
      <c r="L4" s="239"/>
      <c r="M4" s="239"/>
      <c r="N4" s="239"/>
      <c r="O4" s="239"/>
      <c r="P4" s="239"/>
    </row>
    <row r="5" spans="1:19" x14ac:dyDescent="0.25">
      <c r="C5" s="240"/>
      <c r="D5" s="240"/>
      <c r="E5" s="240"/>
      <c r="F5" s="240"/>
      <c r="H5" s="239"/>
      <c r="I5" s="239"/>
      <c r="J5" s="239"/>
      <c r="K5" s="239"/>
      <c r="L5" s="239"/>
      <c r="M5" s="239"/>
      <c r="N5" s="239"/>
      <c r="O5" s="239"/>
      <c r="P5" s="239"/>
    </row>
    <row r="6" spans="1:19" x14ac:dyDescent="0.25">
      <c r="C6" s="240"/>
      <c r="D6" s="240"/>
      <c r="E6" s="240"/>
      <c r="F6" s="240"/>
    </row>
    <row r="7" spans="1:19" ht="21" x14ac:dyDescent="0.35">
      <c r="E7" s="18" t="s">
        <v>80</v>
      </c>
      <c r="F7" s="235" t="s">
        <v>65</v>
      </c>
      <c r="G7" s="235"/>
      <c r="H7" s="235"/>
      <c r="K7" s="242" t="s">
        <v>286</v>
      </c>
      <c r="L7" s="243"/>
      <c r="M7" s="243"/>
      <c r="N7" s="243"/>
    </row>
    <row r="8" spans="1:19" ht="15.75" x14ac:dyDescent="0.25">
      <c r="B8" s="194"/>
      <c r="C8" s="194"/>
      <c r="D8" s="8"/>
      <c r="E8" s="8"/>
      <c r="F8" s="8"/>
      <c r="J8" s="9"/>
    </row>
    <row r="9" spans="1:19" ht="21" x14ac:dyDescent="0.35">
      <c r="A9" s="235" t="s">
        <v>352</v>
      </c>
      <c r="B9" s="235"/>
      <c r="C9" s="235"/>
      <c r="D9" s="235"/>
      <c r="E9" s="235"/>
      <c r="F9" s="235"/>
      <c r="I9" s="244" t="s">
        <v>157</v>
      </c>
      <c r="J9" s="244"/>
      <c r="K9" s="244"/>
      <c r="L9" s="244"/>
      <c r="M9" s="244"/>
      <c r="N9" s="244"/>
      <c r="O9" s="244"/>
      <c r="P9" s="244"/>
      <c r="R9" s="9" t="s">
        <v>155</v>
      </c>
      <c r="S9" s="9" t="s">
        <v>156</v>
      </c>
    </row>
    <row r="10" spans="1:19" x14ac:dyDescent="0.25">
      <c r="R10" s="2">
        <f>K43</f>
        <v>678.21368627492302</v>
      </c>
      <c r="S10" s="43">
        <f>K45</f>
        <v>5990.7485451604525</v>
      </c>
    </row>
    <row r="11" spans="1:19" ht="17.25" x14ac:dyDescent="0.3">
      <c r="A11" s="236" t="s">
        <v>150</v>
      </c>
      <c r="B11" s="237"/>
      <c r="C11" s="237"/>
      <c r="D11" s="237"/>
      <c r="E11" s="237"/>
      <c r="F11" s="238"/>
      <c r="G11" s="40" t="s">
        <v>0</v>
      </c>
      <c r="K11" s="206" t="s">
        <v>15</v>
      </c>
      <c r="L11" s="206"/>
      <c r="M11" s="206"/>
      <c r="N11" s="206"/>
      <c r="O11" s="161">
        <f>O12+O13</f>
        <v>58.1</v>
      </c>
      <c r="P11" s="47" t="s">
        <v>14</v>
      </c>
      <c r="R11" s="130">
        <f>K65/O18*O14</f>
        <v>2206.842191978621</v>
      </c>
      <c r="S11" s="130">
        <f>K65/O18*O16</f>
        <v>16930.102786224044</v>
      </c>
    </row>
    <row r="12" spans="1:19" ht="15.75" x14ac:dyDescent="0.25">
      <c r="A12" s="214" t="s">
        <v>107</v>
      </c>
      <c r="B12" s="215"/>
      <c r="C12" s="215"/>
      <c r="D12" s="48"/>
      <c r="E12" s="218">
        <f>Insumos!$B$4</f>
        <v>531068.38</v>
      </c>
      <c r="F12" s="218"/>
      <c r="G12" s="1"/>
      <c r="K12" s="206" t="s">
        <v>136</v>
      </c>
      <c r="L12" s="206"/>
      <c r="M12" s="206"/>
      <c r="N12" s="206"/>
      <c r="O12" s="150">
        <v>6.7</v>
      </c>
      <c r="P12" s="47" t="s">
        <v>14</v>
      </c>
      <c r="R12" s="2">
        <f>K72/O18*O14</f>
        <v>201.36105105681162</v>
      </c>
      <c r="S12" s="2">
        <f>K72/O18*O16</f>
        <v>1544.7698543761367</v>
      </c>
    </row>
    <row r="13" spans="1:19" ht="15.75" x14ac:dyDescent="0.25">
      <c r="A13" s="214" t="s">
        <v>285</v>
      </c>
      <c r="B13" s="215"/>
      <c r="C13" s="215"/>
      <c r="D13" s="216"/>
      <c r="E13" s="198">
        <f>'DEPRECIAÇÃO LINEAR'!D15</f>
        <v>10</v>
      </c>
      <c r="F13" s="198"/>
      <c r="K13" s="206" t="s">
        <v>137</v>
      </c>
      <c r="L13" s="206"/>
      <c r="M13" s="206"/>
      <c r="N13" s="206"/>
      <c r="O13" s="150">
        <v>51.4</v>
      </c>
      <c r="P13" s="47" t="s">
        <v>14</v>
      </c>
      <c r="R13" s="2">
        <f>K79/O18*O14</f>
        <v>300.8568864166852</v>
      </c>
      <c r="S13" s="2">
        <f>K79/O18*O16</f>
        <v>2308.0662629578533</v>
      </c>
    </row>
    <row r="14" spans="1:19" ht="15" customHeight="1" x14ac:dyDescent="0.25">
      <c r="A14" s="214" t="s">
        <v>23</v>
      </c>
      <c r="B14" s="215"/>
      <c r="C14" s="215"/>
      <c r="D14" s="216"/>
      <c r="E14" s="219">
        <v>2026</v>
      </c>
      <c r="F14" s="220"/>
      <c r="K14" s="223" t="s">
        <v>138</v>
      </c>
      <c r="L14" s="223"/>
      <c r="M14" s="223"/>
      <c r="N14" s="223"/>
      <c r="O14" s="232">
        <f>O12*21</f>
        <v>140.70000000000002</v>
      </c>
      <c r="P14" s="234" t="s">
        <v>14</v>
      </c>
      <c r="R14" s="2">
        <f>SUM(R10:R13)</f>
        <v>3387.2738157270405</v>
      </c>
      <c r="S14" s="2">
        <f>SUM(S10:S13)</f>
        <v>26773.687448718487</v>
      </c>
    </row>
    <row r="15" spans="1:19" ht="15.75" customHeight="1" x14ac:dyDescent="0.25">
      <c r="A15" s="49" t="s">
        <v>79</v>
      </c>
      <c r="B15" s="48"/>
      <c r="C15" s="48"/>
      <c r="D15" s="48"/>
      <c r="E15" s="198">
        <v>0</v>
      </c>
      <c r="F15" s="198"/>
      <c r="G15" s="41" t="s">
        <v>128</v>
      </c>
      <c r="I15" s="28"/>
      <c r="J15" s="28"/>
      <c r="K15" s="223"/>
      <c r="L15" s="223"/>
      <c r="M15" s="223"/>
      <c r="N15" s="223"/>
      <c r="O15" s="233"/>
      <c r="P15" s="234"/>
      <c r="R15" s="31">
        <f>IFERROR(R14/O14,0)</f>
        <v>24.074440765650603</v>
      </c>
      <c r="S15" s="31">
        <f>IFERROR(S14/O16,0)</f>
        <v>24.804231470000452</v>
      </c>
    </row>
    <row r="16" spans="1:19" ht="15" customHeight="1" x14ac:dyDescent="0.25">
      <c r="A16" s="214" t="s">
        <v>84</v>
      </c>
      <c r="B16" s="215"/>
      <c r="C16" s="215"/>
      <c r="D16" s="215"/>
      <c r="E16" s="198" t="str">
        <f>IF($F$7=$D$95,F104,IF($F$7=$D$107,F116,IF($F$7=$N$95,Q104,IF($F$7=$O$107,P116,""))))</f>
        <v>ATÉ 59 ALUNOS</v>
      </c>
      <c r="F16" s="198"/>
      <c r="I16" s="28"/>
      <c r="J16" s="28"/>
      <c r="K16" s="223" t="s">
        <v>139</v>
      </c>
      <c r="L16" s="223"/>
      <c r="M16" s="223"/>
      <c r="N16" s="223"/>
      <c r="O16" s="232">
        <f>O13*21</f>
        <v>1079.3999999999999</v>
      </c>
      <c r="P16" s="234" t="s">
        <v>14</v>
      </c>
    </row>
    <row r="17" spans="1:22" ht="15" customHeight="1" x14ac:dyDescent="0.35">
      <c r="I17" s="28"/>
      <c r="J17" s="28"/>
      <c r="K17" s="223"/>
      <c r="L17" s="223"/>
      <c r="M17" s="223"/>
      <c r="N17" s="223"/>
      <c r="O17" s="233"/>
      <c r="P17" s="234"/>
      <c r="R17" s="2">
        <f>R14+S14</f>
        <v>30160.961264445526</v>
      </c>
      <c r="T17" s="235"/>
      <c r="U17" s="235"/>
      <c r="V17" s="235"/>
    </row>
    <row r="18" spans="1:22" ht="15" customHeight="1" x14ac:dyDescent="0.25">
      <c r="I18" s="28"/>
      <c r="J18" s="28"/>
      <c r="K18" s="223" t="s">
        <v>140</v>
      </c>
      <c r="L18" s="223"/>
      <c r="M18" s="223"/>
      <c r="N18" s="223"/>
      <c r="O18" s="46">
        <f>O16+O14</f>
        <v>1220.0999999999999</v>
      </c>
      <c r="P18" s="47" t="s">
        <v>14</v>
      </c>
      <c r="R18" s="2">
        <f>R17/O18</f>
        <v>24.72007316158145</v>
      </c>
    </row>
    <row r="19" spans="1:22" ht="15.75" customHeight="1" thickBot="1" x14ac:dyDescent="0.35">
      <c r="A19" s="224" t="s">
        <v>1</v>
      </c>
      <c r="B19" s="225"/>
      <c r="C19" s="225"/>
      <c r="D19" s="225"/>
      <c r="E19" s="225"/>
      <c r="F19" s="225"/>
      <c r="I19" s="29"/>
      <c r="J19" s="29"/>
      <c r="K19" s="29"/>
      <c r="L19" s="29"/>
      <c r="M19" s="29"/>
    </row>
    <row r="20" spans="1:22" ht="15" customHeight="1" x14ac:dyDescent="0.25">
      <c r="A20" s="206" t="s">
        <v>106</v>
      </c>
      <c r="B20" s="206"/>
      <c r="C20" s="206"/>
      <c r="D20" s="206"/>
      <c r="E20" s="206"/>
      <c r="F20" s="206"/>
      <c r="H20" s="245" t="s">
        <v>306</v>
      </c>
      <c r="I20" s="246"/>
      <c r="J20" s="246"/>
      <c r="K20" s="246"/>
      <c r="L20" s="246"/>
      <c r="M20" s="246"/>
      <c r="N20" s="247"/>
      <c r="O20" s="93">
        <f>K90</f>
        <v>24.72007316158145</v>
      </c>
      <c r="R20" s="93">
        <f>K90</f>
        <v>24.72007316158145</v>
      </c>
    </row>
    <row r="21" spans="1:22" ht="15.75" thickBot="1" x14ac:dyDescent="0.3">
      <c r="H21" s="248"/>
      <c r="I21" s="249"/>
      <c r="J21" s="249"/>
      <c r="K21" s="249"/>
      <c r="L21" s="249"/>
      <c r="M21" s="249"/>
      <c r="N21" s="250"/>
      <c r="O21" s="2"/>
    </row>
    <row r="23" spans="1:22" ht="17.25" x14ac:dyDescent="0.3">
      <c r="A23" s="224" t="s">
        <v>2</v>
      </c>
      <c r="B23" s="225"/>
      <c r="C23" s="225"/>
      <c r="D23" s="225"/>
      <c r="E23" s="225"/>
      <c r="F23" s="225"/>
      <c r="L23" s="2"/>
    </row>
    <row r="24" spans="1:22" ht="15.75" x14ac:dyDescent="0.25">
      <c r="A24" s="214" t="s">
        <v>11</v>
      </c>
      <c r="B24" s="215"/>
      <c r="C24" s="215"/>
      <c r="D24" s="215"/>
      <c r="E24" s="198">
        <f>IF($F$7=$D$95,F100,IF($F$7=$D$107,F112,IF($F$7=$N$95,Q100,IF($F$7=$O$107,P112,""))))</f>
        <v>6</v>
      </c>
      <c r="F24" s="198"/>
    </row>
    <row r="25" spans="1:22" ht="15.75" x14ac:dyDescent="0.25">
      <c r="A25" s="214" t="s">
        <v>9</v>
      </c>
      <c r="B25" s="215"/>
      <c r="C25" s="215"/>
      <c r="D25" s="216"/>
      <c r="E25" s="218">
        <f>Insumos!$B$5</f>
        <v>2453.2399999999998</v>
      </c>
      <c r="F25" s="218"/>
    </row>
    <row r="26" spans="1:22" ht="15.75" x14ac:dyDescent="0.25">
      <c r="A26" s="214" t="s">
        <v>147</v>
      </c>
      <c r="B26" s="215"/>
      <c r="C26" s="215"/>
      <c r="D26" s="216"/>
      <c r="E26" s="219">
        <v>2</v>
      </c>
      <c r="F26" s="220"/>
    </row>
    <row r="27" spans="1:22" ht="15.75" x14ac:dyDescent="0.25">
      <c r="A27" s="214" t="s">
        <v>148</v>
      </c>
      <c r="B27" s="215"/>
      <c r="C27" s="215"/>
      <c r="D27" s="216"/>
      <c r="E27" s="221">
        <f>Insumos!$B$6</f>
        <v>975.83</v>
      </c>
      <c r="F27" s="222"/>
    </row>
    <row r="28" spans="1:22" ht="15.75" x14ac:dyDescent="0.25">
      <c r="A28" s="214" t="s">
        <v>149</v>
      </c>
      <c r="B28" s="215"/>
      <c r="C28" s="215"/>
      <c r="D28" s="216"/>
      <c r="E28" s="217">
        <v>100000</v>
      </c>
      <c r="F28" s="217"/>
    </row>
    <row r="31" spans="1:22" ht="15.75" x14ac:dyDescent="0.25">
      <c r="A31" s="191" t="s">
        <v>3</v>
      </c>
      <c r="B31" s="192"/>
      <c r="C31" s="192"/>
      <c r="D31" s="192"/>
      <c r="E31" s="192"/>
      <c r="F31" s="192"/>
    </row>
    <row r="32" spans="1:22" ht="15.75" x14ac:dyDescent="0.25">
      <c r="A32" s="214" t="s">
        <v>19</v>
      </c>
      <c r="B32" s="215"/>
      <c r="C32" s="215"/>
      <c r="D32" s="216"/>
      <c r="E32" s="218">
        <f>Insumos!$B$7</f>
        <v>7.6</v>
      </c>
      <c r="F32" s="218"/>
    </row>
    <row r="33" spans="1:14" ht="15.75" x14ac:dyDescent="0.25">
      <c r="A33" s="214" t="s">
        <v>17</v>
      </c>
      <c r="B33" s="215"/>
      <c r="C33" s="215"/>
      <c r="D33" s="216"/>
      <c r="E33" s="46">
        <f>IF($F$7=$D$95,G103,IF($F$7=$D$107,G115,IF($F$7=$N$95,Q103,IF($F$7=$O$107,Q115,""))))</f>
        <v>2.6</v>
      </c>
      <c r="F33" s="50" t="s">
        <v>18</v>
      </c>
    </row>
    <row r="36" spans="1:14" ht="17.25" x14ac:dyDescent="0.3">
      <c r="A36" s="208" t="s">
        <v>20</v>
      </c>
      <c r="B36" s="209"/>
      <c r="C36" s="209"/>
      <c r="D36" s="209"/>
      <c r="E36" s="209"/>
    </row>
    <row r="37" spans="1:14" x14ac:dyDescent="0.25">
      <c r="B37" s="210"/>
      <c r="C37" s="210"/>
      <c r="D37" s="211"/>
      <c r="E37" s="212" t="s">
        <v>4</v>
      </c>
      <c r="F37" s="213"/>
    </row>
    <row r="38" spans="1:14" ht="15.75" x14ac:dyDescent="0.25">
      <c r="A38" s="46" t="s">
        <v>346</v>
      </c>
      <c r="B38" s="214" t="s">
        <v>52</v>
      </c>
      <c r="C38" s="215"/>
      <c r="D38" s="216"/>
      <c r="E38" s="46">
        <f>1/E33</f>
        <v>0.38461538461538458</v>
      </c>
      <c r="F38" s="7" t="s">
        <v>5</v>
      </c>
      <c r="G38" s="7"/>
      <c r="H38" s="7"/>
      <c r="I38" s="7"/>
      <c r="J38" s="7"/>
      <c r="K38" s="58">
        <f>E32*E38</f>
        <v>2.9230769230769225</v>
      </c>
      <c r="L38" s="51" t="s">
        <v>13</v>
      </c>
      <c r="N38" s="2"/>
    </row>
    <row r="39" spans="1:14" ht="15.75" x14ac:dyDescent="0.25">
      <c r="A39" s="46" t="s">
        <v>6</v>
      </c>
      <c r="B39" s="206" t="s">
        <v>152</v>
      </c>
      <c r="C39" s="206"/>
      <c r="D39" s="206"/>
      <c r="E39" s="46">
        <v>0.04</v>
      </c>
      <c r="F39" s="7" t="s">
        <v>5</v>
      </c>
      <c r="G39" s="7"/>
      <c r="H39" s="7"/>
      <c r="I39" s="7"/>
      <c r="J39" s="7"/>
      <c r="K39" s="58">
        <f>E39*E32</f>
        <v>0.30399999999999999</v>
      </c>
      <c r="L39" s="51" t="s">
        <v>13</v>
      </c>
    </row>
    <row r="40" spans="1:14" ht="15.75" x14ac:dyDescent="0.25">
      <c r="A40" s="46" t="s">
        <v>7</v>
      </c>
      <c r="B40" s="206" t="s">
        <v>8</v>
      </c>
      <c r="C40" s="206"/>
      <c r="D40" s="206"/>
      <c r="E40" s="46"/>
      <c r="F40" s="7"/>
      <c r="G40" s="7"/>
      <c r="H40" s="7"/>
      <c r="I40" s="7"/>
      <c r="J40" s="7"/>
      <c r="K40" s="58">
        <f>((E25*E24)+(E26*E24*E27))/E28</f>
        <v>0.26429400000000003</v>
      </c>
      <c r="L40" s="51" t="s">
        <v>13</v>
      </c>
    </row>
    <row r="41" spans="1:14" ht="15.75" x14ac:dyDescent="0.25">
      <c r="A41" s="46" t="s">
        <v>12</v>
      </c>
      <c r="B41" s="206" t="s">
        <v>153</v>
      </c>
      <c r="C41" s="206"/>
      <c r="D41" s="206"/>
      <c r="E41" s="70">
        <v>3.0000000000000001E-6</v>
      </c>
      <c r="F41" s="193" t="s">
        <v>10</v>
      </c>
      <c r="G41" s="193"/>
      <c r="H41" s="193"/>
      <c r="I41" s="7"/>
      <c r="J41" s="7"/>
      <c r="K41" s="58">
        <f>(E41*E12)-(K40)</f>
        <v>1.32891114</v>
      </c>
      <c r="L41" s="51" t="s">
        <v>13</v>
      </c>
    </row>
    <row r="42" spans="1:14" ht="15.75" x14ac:dyDescent="0.25">
      <c r="A42" s="207"/>
      <c r="B42" s="207"/>
      <c r="C42" s="207"/>
      <c r="D42" s="207"/>
      <c r="E42" s="207"/>
      <c r="F42" s="7"/>
      <c r="G42" s="7"/>
      <c r="H42" s="7"/>
      <c r="I42" s="7"/>
      <c r="J42" s="7"/>
      <c r="K42" s="58">
        <f>SUM(K38:K41)</f>
        <v>4.8202820630769221</v>
      </c>
      <c r="L42" s="51" t="s">
        <v>13</v>
      </c>
    </row>
    <row r="43" spans="1:14" ht="21" customHeight="1" x14ac:dyDescent="0.25">
      <c r="A43" s="200" t="s">
        <v>144</v>
      </c>
      <c r="B43" s="200"/>
      <c r="C43" s="200"/>
      <c r="D43" s="200"/>
      <c r="E43" s="200"/>
      <c r="F43" s="200"/>
      <c r="G43" s="200"/>
      <c r="H43" s="200"/>
      <c r="I43" s="200"/>
      <c r="J43" s="200"/>
      <c r="K43" s="68">
        <f>K42*O14</f>
        <v>678.21368627492302</v>
      </c>
      <c r="L43" s="52" t="s">
        <v>16</v>
      </c>
    </row>
    <row r="45" spans="1:14" ht="18.75" x14ac:dyDescent="0.3">
      <c r="A45" s="190" t="s">
        <v>145</v>
      </c>
      <c r="B45" s="190"/>
      <c r="C45" s="190"/>
      <c r="D45" s="190"/>
      <c r="E45" s="190"/>
      <c r="F45" s="190"/>
      <c r="G45" s="190"/>
      <c r="H45" s="190"/>
      <c r="I45" s="190"/>
      <c r="J45" s="190"/>
      <c r="K45" s="65">
        <f>K42*O16*1.1514</f>
        <v>5990.7485451604525</v>
      </c>
      <c r="L45" s="53" t="s">
        <v>16</v>
      </c>
    </row>
    <row r="46" spans="1:14" ht="15.75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</row>
    <row r="47" spans="1:14" ht="18.75" x14ac:dyDescent="0.3">
      <c r="A47" s="190" t="s">
        <v>146</v>
      </c>
      <c r="B47" s="190"/>
      <c r="C47" s="190"/>
      <c r="D47" s="190"/>
      <c r="E47" s="190"/>
      <c r="F47" s="190"/>
      <c r="G47" s="190"/>
      <c r="H47" s="190"/>
      <c r="I47" s="190"/>
      <c r="J47" s="190"/>
      <c r="K47" s="65">
        <f>K43+K45</f>
        <v>6668.9622314353755</v>
      </c>
      <c r="L47" s="54" t="s">
        <v>16</v>
      </c>
    </row>
    <row r="49" spans="1:12" ht="15.75" x14ac:dyDescent="0.25">
      <c r="A49" s="197" t="s">
        <v>21</v>
      </c>
      <c r="B49" s="204"/>
      <c r="C49" s="204"/>
      <c r="D49" s="204"/>
      <c r="E49" s="204"/>
      <c r="F49" s="7"/>
      <c r="G49" s="7"/>
      <c r="H49" s="7"/>
      <c r="I49" s="7"/>
      <c r="J49" s="7"/>
      <c r="K49" s="7"/>
      <c r="L49" s="7"/>
    </row>
    <row r="50" spans="1:12" ht="15.75" x14ac:dyDescent="0.25">
      <c r="A50" s="3"/>
      <c r="B50" s="45"/>
      <c r="C50" s="45"/>
      <c r="D50" s="45"/>
      <c r="E50" s="45"/>
      <c r="F50" s="7"/>
      <c r="G50" s="7"/>
      <c r="H50" s="205" t="s">
        <v>25</v>
      </c>
      <c r="I50" s="205"/>
      <c r="J50" s="7"/>
      <c r="K50" s="7"/>
      <c r="L50" s="7"/>
    </row>
    <row r="51" spans="1:12" ht="15.75" x14ac:dyDescent="0.25">
      <c r="A51" s="7" t="s">
        <v>22</v>
      </c>
      <c r="B51" s="7"/>
      <c r="C51" s="193" t="s">
        <v>24</v>
      </c>
      <c r="D51" s="193"/>
      <c r="E51" s="193"/>
      <c r="F51" s="193"/>
      <c r="G51" s="7"/>
      <c r="H51" s="195"/>
      <c r="I51" s="195"/>
      <c r="J51" s="58"/>
      <c r="K51" s="59">
        <f>IF(L51="LINEAR",'DEPRECIAÇÃO LINEAR'!H23,(VLOOKUP(E15,'DEPRECIAÇÃO LINEAR'!W12:AM25,17,0)))</f>
        <v>3983.0128500000005</v>
      </c>
      <c r="L51" s="55" t="s">
        <v>130</v>
      </c>
    </row>
    <row r="52" spans="1:12" ht="15.75" x14ac:dyDescent="0.25">
      <c r="A52" s="7" t="s">
        <v>26</v>
      </c>
      <c r="B52" s="7"/>
      <c r="C52" s="193" t="s">
        <v>27</v>
      </c>
      <c r="D52" s="193"/>
      <c r="E52" s="193"/>
      <c r="F52" s="193"/>
      <c r="G52" s="7"/>
      <c r="H52" s="7"/>
      <c r="I52" s="7"/>
      <c r="J52" s="58"/>
      <c r="K52" s="58"/>
      <c r="L52" s="7"/>
    </row>
    <row r="53" spans="1:12" ht="15.75" x14ac:dyDescent="0.25">
      <c r="A53" s="7"/>
      <c r="B53" s="7" t="s">
        <v>31</v>
      </c>
      <c r="C53" s="193" t="s">
        <v>28</v>
      </c>
      <c r="D53" s="193"/>
      <c r="E53" s="193"/>
      <c r="F53" s="193"/>
      <c r="G53" s="7"/>
      <c r="H53" s="7"/>
      <c r="I53" s="7"/>
      <c r="J53" s="58"/>
      <c r="K53" s="58">
        <f>'Motorista de Veiculo Pesado'!E90</f>
        <v>8468.4608078400015</v>
      </c>
      <c r="L53" s="7"/>
    </row>
    <row r="54" spans="1:12" ht="15.75" x14ac:dyDescent="0.25">
      <c r="A54" s="7"/>
      <c r="B54" s="7" t="s">
        <v>32</v>
      </c>
      <c r="C54" s="193" t="s">
        <v>29</v>
      </c>
      <c r="D54" s="193"/>
      <c r="E54" s="193"/>
      <c r="F54" s="193"/>
      <c r="G54" s="7"/>
      <c r="H54" s="7"/>
      <c r="I54" s="7"/>
      <c r="J54" s="58"/>
      <c r="K54" s="58">
        <f>'Monitor de Transporte Escolar'!E90</f>
        <v>4485.726463695999</v>
      </c>
      <c r="L54" s="7"/>
    </row>
    <row r="55" spans="1:12" ht="15.75" x14ac:dyDescent="0.25">
      <c r="A55" s="7" t="s">
        <v>30</v>
      </c>
      <c r="B55" s="7"/>
      <c r="C55" s="193" t="s">
        <v>34</v>
      </c>
      <c r="D55" s="193"/>
      <c r="E55" s="193"/>
      <c r="F55" s="193"/>
      <c r="G55" s="7"/>
      <c r="H55" s="7"/>
      <c r="I55" s="7"/>
      <c r="J55" s="58"/>
      <c r="K55" s="58"/>
      <c r="L55" s="56"/>
    </row>
    <row r="56" spans="1:12" ht="15.75" x14ac:dyDescent="0.25">
      <c r="A56" s="7"/>
      <c r="B56" s="7" t="s">
        <v>33</v>
      </c>
      <c r="C56" s="7" t="s">
        <v>35</v>
      </c>
      <c r="D56" s="7"/>
      <c r="E56" s="7"/>
      <c r="F56" s="7"/>
      <c r="G56" s="7"/>
      <c r="H56" s="7"/>
      <c r="I56" s="7"/>
      <c r="J56" s="58">
        <f>1/100*E12</f>
        <v>5310.6837999999998</v>
      </c>
      <c r="K56" s="58">
        <f>J56/12</f>
        <v>442.55698333333333</v>
      </c>
      <c r="L56" s="7"/>
    </row>
    <row r="57" spans="1:12" ht="15.75" x14ac:dyDescent="0.25">
      <c r="A57" s="7"/>
      <c r="B57" s="7" t="s">
        <v>36</v>
      </c>
      <c r="C57" s="7" t="s">
        <v>37</v>
      </c>
      <c r="D57" s="7"/>
      <c r="E57" s="7"/>
      <c r="F57" s="7"/>
      <c r="G57" s="7"/>
      <c r="H57" s="7"/>
      <c r="I57" s="7"/>
      <c r="J57" s="58">
        <v>230.25</v>
      </c>
      <c r="K57" s="58">
        <f>J57/12</f>
        <v>19.1875</v>
      </c>
      <c r="L57" s="7"/>
    </row>
    <row r="58" spans="1:12" ht="15.75" x14ac:dyDescent="0.25">
      <c r="A58" s="7"/>
      <c r="B58" s="7" t="s">
        <v>38</v>
      </c>
      <c r="C58" s="193" t="s">
        <v>39</v>
      </c>
      <c r="D58" s="193"/>
      <c r="E58" s="193"/>
      <c r="F58" s="193"/>
      <c r="G58" s="7"/>
      <c r="H58" s="7"/>
      <c r="I58" s="7"/>
      <c r="J58" s="58">
        <v>161.80000000000001</v>
      </c>
      <c r="K58" s="58">
        <f>J58/12</f>
        <v>13.483333333333334</v>
      </c>
      <c r="L58" s="7"/>
    </row>
    <row r="59" spans="1:12" ht="15.75" x14ac:dyDescent="0.25">
      <c r="A59" s="7" t="s">
        <v>41</v>
      </c>
      <c r="B59" s="7"/>
      <c r="C59" s="7" t="s">
        <v>40</v>
      </c>
      <c r="D59" s="7"/>
      <c r="E59" s="7"/>
      <c r="F59" s="7"/>
      <c r="G59" s="7"/>
      <c r="H59" s="7"/>
      <c r="I59" s="7"/>
      <c r="J59" s="58">
        <v>0</v>
      </c>
      <c r="K59" s="58">
        <f>J59/12</f>
        <v>0</v>
      </c>
      <c r="L59" s="7"/>
    </row>
    <row r="60" spans="1:12" ht="15.75" x14ac:dyDescent="0.25">
      <c r="A60" s="7" t="s">
        <v>57</v>
      </c>
      <c r="B60" s="7"/>
      <c r="C60" s="193" t="s">
        <v>58</v>
      </c>
      <c r="D60" s="193"/>
      <c r="E60" s="193"/>
      <c r="F60" s="193"/>
      <c r="G60" s="193"/>
      <c r="H60" s="7"/>
      <c r="I60" s="7"/>
      <c r="J60" s="58">
        <f>Insumos!$B$8</f>
        <v>350.88</v>
      </c>
      <c r="K60" s="58">
        <f>4*J60</f>
        <v>1403.52</v>
      </c>
      <c r="L60" s="7"/>
    </row>
    <row r="61" spans="1:12" ht="15.75" x14ac:dyDescent="0.25">
      <c r="A61" s="7" t="s">
        <v>60</v>
      </c>
      <c r="B61" s="7"/>
      <c r="C61" s="45" t="s">
        <v>63</v>
      </c>
      <c r="D61" s="45"/>
      <c r="E61" s="45"/>
      <c r="F61" s="45"/>
      <c r="G61" s="45"/>
      <c r="H61" s="7"/>
      <c r="I61" s="7"/>
      <c r="J61" s="58">
        <f>Insumos!$B$9</f>
        <v>2680.95</v>
      </c>
      <c r="K61" s="58">
        <f>J61/12</f>
        <v>223.41249999999999</v>
      </c>
      <c r="L61" s="7"/>
    </row>
    <row r="62" spans="1:12" ht="15.75" x14ac:dyDescent="0.25">
      <c r="A62" s="7" t="s">
        <v>61</v>
      </c>
      <c r="B62" s="7"/>
      <c r="C62" s="193" t="s">
        <v>62</v>
      </c>
      <c r="D62" s="193"/>
      <c r="E62" s="193"/>
      <c r="F62" s="45"/>
      <c r="G62" s="45"/>
      <c r="H62" s="7"/>
      <c r="I62" s="7"/>
      <c r="J62" s="60">
        <f>Insumos!$B$10</f>
        <v>932.23</v>
      </c>
      <c r="K62" s="58">
        <f>J62/12</f>
        <v>77.685833333333335</v>
      </c>
      <c r="L62" s="7"/>
    </row>
    <row r="63" spans="1:12" ht="15.75" x14ac:dyDescent="0.25">
      <c r="A63" s="7" t="s">
        <v>142</v>
      </c>
      <c r="B63" s="7"/>
      <c r="C63" s="203" t="s">
        <v>143</v>
      </c>
      <c r="D63" s="203"/>
      <c r="E63" s="203"/>
      <c r="F63" s="203"/>
      <c r="G63" s="164"/>
      <c r="H63" s="7"/>
      <c r="I63" s="7"/>
      <c r="J63" s="60">
        <f>Insumos!$B$11</f>
        <v>471.82</v>
      </c>
      <c r="K63" s="72">
        <f>J63/24</f>
        <v>19.659166666666668</v>
      </c>
      <c r="L63" s="7"/>
    </row>
    <row r="64" spans="1:12" ht="15.75" x14ac:dyDescent="0.25">
      <c r="A64" s="7" t="s">
        <v>340</v>
      </c>
      <c r="B64" s="7"/>
      <c r="C64" s="165" t="s">
        <v>343</v>
      </c>
      <c r="D64" s="165"/>
      <c r="E64" s="165"/>
      <c r="F64" s="165"/>
      <c r="G64" s="164"/>
      <c r="H64" s="7"/>
      <c r="I64" s="7"/>
      <c r="J64" s="60">
        <f>Insumos!$B$12</f>
        <v>14.372399999999997</v>
      </c>
      <c r="K64" s="72">
        <f>J64/60</f>
        <v>0.23953999999999995</v>
      </c>
      <c r="L64" s="7"/>
    </row>
    <row r="65" spans="1:13" ht="20.25" customHeight="1" x14ac:dyDescent="0.25">
      <c r="A65" s="259" t="s">
        <v>43</v>
      </c>
      <c r="B65" s="260"/>
      <c r="C65" s="260"/>
      <c r="D65" s="260"/>
      <c r="E65" s="260"/>
      <c r="F65" s="260"/>
      <c r="G65" s="260"/>
      <c r="H65" s="260"/>
      <c r="I65" s="260"/>
      <c r="J65" s="261"/>
      <c r="K65" s="67">
        <f>SUM(K51:K64)</f>
        <v>19136.944978202664</v>
      </c>
      <c r="L65" s="57" t="s">
        <v>16</v>
      </c>
      <c r="M65" s="4"/>
    </row>
    <row r="67" spans="1:13" ht="19.5" customHeight="1" x14ac:dyDescent="0.3">
      <c r="A67" s="262" t="s">
        <v>132</v>
      </c>
      <c r="B67" s="263"/>
      <c r="C67" s="263"/>
      <c r="D67" s="263"/>
      <c r="E67" s="263"/>
      <c r="F67" s="263"/>
      <c r="G67" s="263"/>
      <c r="H67" s="263"/>
      <c r="I67" s="264"/>
      <c r="K67" s="66">
        <f>K47+K65</f>
        <v>25805.907209638041</v>
      </c>
    </row>
    <row r="69" spans="1:13" ht="15.75" x14ac:dyDescent="0.25">
      <c r="A69" s="254" t="s">
        <v>133</v>
      </c>
      <c r="B69" s="255"/>
      <c r="C69" s="255"/>
      <c r="D69" s="255"/>
      <c r="E69" s="256"/>
      <c r="I69" s="265" t="s">
        <v>55</v>
      </c>
      <c r="J69" s="266"/>
    </row>
    <row r="70" spans="1:13" ht="15.75" x14ac:dyDescent="0.25">
      <c r="A70" s="7" t="s">
        <v>341</v>
      </c>
      <c r="B70" s="7"/>
      <c r="C70" s="193" t="s">
        <v>54</v>
      </c>
      <c r="D70" s="193"/>
      <c r="E70" s="193"/>
      <c r="F70" s="193"/>
      <c r="G70" s="7"/>
      <c r="H70" s="7"/>
      <c r="I70" s="168">
        <f>Insumos!$B$15</f>
        <v>2.6599999999999999E-2</v>
      </c>
      <c r="J70" s="7"/>
      <c r="K70" s="58">
        <f>I70*K67</f>
        <v>686.43713177637187</v>
      </c>
      <c r="L70" s="7"/>
    </row>
    <row r="71" spans="1:13" ht="15.75" x14ac:dyDescent="0.25">
      <c r="A71" s="7" t="s">
        <v>342</v>
      </c>
      <c r="B71" s="7"/>
      <c r="C71" s="193" t="s">
        <v>59</v>
      </c>
      <c r="D71" s="193"/>
      <c r="E71" s="193"/>
      <c r="F71" s="193"/>
      <c r="G71" s="7"/>
      <c r="H71" s="7"/>
      <c r="I71" s="169">
        <f>Insumos!$B$16</f>
        <v>0.04</v>
      </c>
      <c r="J71" s="7"/>
      <c r="K71" s="58">
        <f>I71*(K67+K70)</f>
        <v>1059.6937736565765</v>
      </c>
      <c r="L71" s="7"/>
    </row>
    <row r="72" spans="1:13" ht="18.75" x14ac:dyDescent="0.3">
      <c r="A72" s="7"/>
      <c r="B72" s="7"/>
      <c r="C72" s="7"/>
      <c r="D72" s="7"/>
      <c r="E72" s="7"/>
      <c r="F72" s="7"/>
      <c r="G72" s="7"/>
      <c r="H72" s="7"/>
      <c r="I72" s="7"/>
      <c r="J72" s="61" t="s">
        <v>131</v>
      </c>
      <c r="K72" s="65">
        <f>SUM(K70:K71)</f>
        <v>1746.1309054329483</v>
      </c>
      <c r="L72" s="54" t="s">
        <v>16</v>
      </c>
    </row>
    <row r="74" spans="1:13" ht="15.75" x14ac:dyDescent="0.25">
      <c r="A74" s="254" t="s">
        <v>134</v>
      </c>
      <c r="B74" s="255"/>
      <c r="C74" s="255"/>
      <c r="D74" s="255"/>
      <c r="E74" s="256"/>
      <c r="F74" s="7"/>
      <c r="G74" s="7"/>
      <c r="H74" s="7"/>
      <c r="I74" s="7"/>
      <c r="J74" s="7"/>
      <c r="K74" s="7"/>
      <c r="L74" s="7"/>
    </row>
    <row r="75" spans="1:13" ht="15.75" x14ac:dyDescent="0.25">
      <c r="A75" s="193" t="s">
        <v>42</v>
      </c>
      <c r="B75" s="193"/>
      <c r="C75" s="193"/>
      <c r="D75" s="193"/>
      <c r="E75" s="193"/>
      <c r="F75" s="193"/>
      <c r="G75" s="7"/>
      <c r="H75" s="7"/>
      <c r="I75" s="219" t="s">
        <v>47</v>
      </c>
      <c r="J75" s="220"/>
      <c r="K75" s="51">
        <f>K67+K72</f>
        <v>27552.038115070987</v>
      </c>
      <c r="L75" s="7"/>
    </row>
    <row r="76" spans="1:13" ht="15.75" x14ac:dyDescent="0.25">
      <c r="A76" s="7" t="s">
        <v>53</v>
      </c>
      <c r="C76" s="7" t="s">
        <v>44</v>
      </c>
      <c r="D76" s="7"/>
      <c r="E76" s="7"/>
      <c r="F76" s="7"/>
      <c r="G76" s="7"/>
      <c r="H76" s="7"/>
      <c r="I76" s="257">
        <f>Insumos!$B$18</f>
        <v>0.05</v>
      </c>
      <c r="J76" s="258"/>
      <c r="K76" s="51">
        <f>$K$75/(1-(SUM($I$76:$J$78)))*I76</f>
        <v>1508.0480632222764</v>
      </c>
      <c r="L76" s="7"/>
    </row>
    <row r="77" spans="1:13" ht="15.75" x14ac:dyDescent="0.25">
      <c r="A77" s="7" t="s">
        <v>344</v>
      </c>
      <c r="C77" s="7" t="s">
        <v>45</v>
      </c>
      <c r="D77" s="7"/>
      <c r="E77" s="7"/>
      <c r="F77" s="7"/>
      <c r="G77" s="7"/>
      <c r="H77" s="7"/>
      <c r="I77" s="257">
        <f>Insumos!$B$19</f>
        <v>6.4999999999999997E-3</v>
      </c>
      <c r="J77" s="258"/>
      <c r="K77" s="51">
        <f>$K$75/(1-(SUM($I$76:$J$78)))*I77</f>
        <v>196.04624821889593</v>
      </c>
      <c r="L77" s="7"/>
    </row>
    <row r="78" spans="1:13" ht="15.75" x14ac:dyDescent="0.25">
      <c r="A78" s="7" t="s">
        <v>345</v>
      </c>
      <c r="C78" s="7" t="s">
        <v>46</v>
      </c>
      <c r="D78" s="7"/>
      <c r="E78" s="7"/>
      <c r="F78" s="7"/>
      <c r="G78" s="7"/>
      <c r="H78" s="7"/>
      <c r="I78" s="257">
        <f>Insumos!$B$20</f>
        <v>0.03</v>
      </c>
      <c r="J78" s="258"/>
      <c r="K78" s="51">
        <f>$K$75/(1-(SUM($I$76:$J$78)))*I78</f>
        <v>904.82883793336578</v>
      </c>
      <c r="L78" s="7"/>
    </row>
    <row r="79" spans="1:13" ht="21" customHeight="1" x14ac:dyDescent="0.3">
      <c r="A79" s="251" t="s">
        <v>48</v>
      </c>
      <c r="B79" s="252"/>
      <c r="C79" s="252"/>
      <c r="D79" s="252"/>
      <c r="E79" s="252"/>
      <c r="F79" s="252"/>
      <c r="G79" s="252"/>
      <c r="H79" s="252"/>
      <c r="I79" s="252"/>
      <c r="J79" s="253"/>
      <c r="K79" s="64">
        <f>SUM(K76:K78)</f>
        <v>2608.9231493745383</v>
      </c>
      <c r="L79" s="54" t="s">
        <v>16</v>
      </c>
    </row>
    <row r="81" spans="1:20" x14ac:dyDescent="0.25">
      <c r="C81" s="5"/>
      <c r="D81" s="5"/>
      <c r="E81" s="5"/>
      <c r="F81" s="5"/>
      <c r="K81" s="2"/>
    </row>
    <row r="82" spans="1:20" ht="15.75" x14ac:dyDescent="0.25">
      <c r="A82" s="191" t="s">
        <v>56</v>
      </c>
      <c r="B82" s="191"/>
      <c r="C82" s="191"/>
      <c r="D82" s="191"/>
      <c r="E82" s="191"/>
      <c r="F82" s="191"/>
      <c r="G82" s="191"/>
      <c r="H82" s="191"/>
      <c r="I82" s="191"/>
      <c r="T82" s="43"/>
    </row>
    <row r="83" spans="1:20" ht="15.75" x14ac:dyDescent="0.25">
      <c r="A83" s="6"/>
      <c r="B83" s="6"/>
      <c r="C83" s="6"/>
      <c r="D83" s="6"/>
      <c r="E83" s="6"/>
      <c r="F83" s="6"/>
      <c r="G83" s="6"/>
      <c r="H83" s="6"/>
      <c r="I83" s="6"/>
    </row>
    <row r="84" spans="1:20" ht="15.75" x14ac:dyDescent="0.25">
      <c r="A84" s="191" t="s">
        <v>51</v>
      </c>
      <c r="B84" s="192"/>
      <c r="C84" s="192"/>
      <c r="D84" s="192"/>
      <c r="E84" s="192"/>
      <c r="F84" s="192"/>
      <c r="G84" s="192"/>
      <c r="H84" s="192"/>
    </row>
    <row r="85" spans="1:20" ht="20.25" customHeight="1" x14ac:dyDescent="0.3">
      <c r="A85" s="193" t="s">
        <v>135</v>
      </c>
      <c r="B85" s="193"/>
      <c r="C85" s="193"/>
      <c r="D85" s="193"/>
      <c r="E85" s="193"/>
      <c r="F85" s="193"/>
      <c r="G85" s="193"/>
      <c r="H85" s="193"/>
      <c r="I85" s="193"/>
      <c r="J85" s="193"/>
      <c r="K85" s="62">
        <f>K67+K72+K79</f>
        <v>30160.961264445526</v>
      </c>
    </row>
    <row r="86" spans="1:20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2"/>
    </row>
    <row r="87" spans="1:20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2"/>
      <c r="P87" s="42"/>
    </row>
    <row r="88" spans="1:20" ht="8.25" customHeight="1" x14ac:dyDescent="0.25"/>
    <row r="89" spans="1:20" ht="16.5" customHeight="1" x14ac:dyDescent="0.25">
      <c r="A89" s="194" t="s">
        <v>49</v>
      </c>
      <c r="B89" s="195"/>
      <c r="C89" s="195"/>
      <c r="D89" s="195"/>
      <c r="E89" s="195"/>
      <c r="F89" s="195"/>
      <c r="G89" s="195"/>
      <c r="H89" s="195"/>
      <c r="I89" s="195"/>
      <c r="J89" s="195"/>
      <c r="K89" s="7"/>
      <c r="L89" s="7"/>
    </row>
    <row r="90" spans="1:20" ht="24.75" customHeight="1" x14ac:dyDescent="0.3">
      <c r="A90" s="196" t="s">
        <v>141</v>
      </c>
      <c r="B90" s="196"/>
      <c r="C90" s="196"/>
      <c r="D90" s="196"/>
      <c r="E90" s="196"/>
      <c r="F90" s="196"/>
      <c r="G90" s="196"/>
      <c r="H90" s="196"/>
      <c r="I90" s="196"/>
      <c r="J90" s="196"/>
      <c r="K90" s="71">
        <f>K85/O18</f>
        <v>24.72007316158145</v>
      </c>
      <c r="L90" s="63" t="s">
        <v>50</v>
      </c>
    </row>
    <row r="94" spans="1:20" s="10" customFormat="1" x14ac:dyDescent="0.25"/>
    <row r="95" spans="1:20" s="11" customFormat="1" ht="18.75" x14ac:dyDescent="0.3">
      <c r="B95" s="12" t="s">
        <v>69</v>
      </c>
      <c r="D95" s="188" t="s">
        <v>65</v>
      </c>
      <c r="E95" s="188"/>
      <c r="L95" s="12" t="s">
        <v>69</v>
      </c>
      <c r="M95" s="12"/>
      <c r="N95" s="12" t="s">
        <v>75</v>
      </c>
      <c r="O95" s="12"/>
    </row>
    <row r="96" spans="1:20" s="11" customFormat="1" x14ac:dyDescent="0.25"/>
    <row r="97" spans="2:18" s="11" customFormat="1" x14ac:dyDescent="0.25">
      <c r="B97" s="184" t="s">
        <v>66</v>
      </c>
      <c r="C97" s="184"/>
      <c r="D97" s="13"/>
      <c r="E97" s="13"/>
      <c r="F97" s="189">
        <v>288912</v>
      </c>
      <c r="G97" s="189"/>
      <c r="L97" s="13" t="s">
        <v>66</v>
      </c>
      <c r="M97" s="13"/>
      <c r="N97" s="13"/>
      <c r="O97" s="13"/>
      <c r="P97" s="13"/>
      <c r="Q97" s="30">
        <v>271500</v>
      </c>
    </row>
    <row r="98" spans="2:18" s="11" customFormat="1" x14ac:dyDescent="0.25">
      <c r="B98" s="13" t="s">
        <v>67</v>
      </c>
      <c r="D98" s="13"/>
      <c r="E98" s="13"/>
      <c r="F98" s="185">
        <v>10</v>
      </c>
      <c r="G98" s="185"/>
      <c r="H98" s="11" t="s">
        <v>154</v>
      </c>
      <c r="L98" s="13" t="s">
        <v>67</v>
      </c>
      <c r="M98" s="13"/>
      <c r="N98" s="13"/>
      <c r="O98" s="13"/>
      <c r="P98" s="13"/>
      <c r="Q98" s="13">
        <v>10</v>
      </c>
      <c r="R98" s="11" t="s">
        <v>154</v>
      </c>
    </row>
    <row r="99" spans="2:18" s="11" customFormat="1" x14ac:dyDescent="0.25">
      <c r="B99" s="13" t="s">
        <v>81</v>
      </c>
      <c r="D99" s="13"/>
      <c r="E99" s="13"/>
      <c r="F99" s="14"/>
      <c r="G99" s="14">
        <v>2018</v>
      </c>
      <c r="L99" s="13" t="s">
        <v>81</v>
      </c>
      <c r="N99" s="13"/>
      <c r="O99" s="13"/>
      <c r="P99" s="14"/>
      <c r="Q99" s="14">
        <v>2018</v>
      </c>
    </row>
    <row r="100" spans="2:18" s="11" customFormat="1" x14ac:dyDescent="0.25">
      <c r="B100" s="184" t="s">
        <v>68</v>
      </c>
      <c r="C100" s="184"/>
      <c r="D100" s="184"/>
      <c r="F100" s="185">
        <v>6</v>
      </c>
      <c r="G100" s="185"/>
      <c r="L100" s="13" t="s">
        <v>76</v>
      </c>
      <c r="M100" s="13"/>
      <c r="N100" s="13"/>
      <c r="O100" s="13"/>
      <c r="P100" s="13"/>
      <c r="Q100" s="13">
        <v>6</v>
      </c>
    </row>
    <row r="101" spans="2:18" s="11" customFormat="1" x14ac:dyDescent="0.25">
      <c r="B101" s="184" t="s">
        <v>71</v>
      </c>
      <c r="C101" s="184"/>
      <c r="D101" s="184"/>
      <c r="F101" s="14"/>
      <c r="G101" s="17">
        <v>100000</v>
      </c>
      <c r="L101" s="13" t="s">
        <v>71</v>
      </c>
      <c r="M101" s="13"/>
      <c r="N101" s="13"/>
      <c r="O101" s="13"/>
      <c r="P101" s="13"/>
      <c r="Q101" s="19">
        <v>100000</v>
      </c>
    </row>
    <row r="102" spans="2:18" s="11" customFormat="1" x14ac:dyDescent="0.25">
      <c r="B102" s="184" t="s">
        <v>72</v>
      </c>
      <c r="C102" s="184"/>
      <c r="D102" s="184"/>
      <c r="F102" s="14"/>
      <c r="G102" s="20">
        <v>1533.77</v>
      </c>
      <c r="L102" s="13" t="s">
        <v>72</v>
      </c>
      <c r="M102" s="13"/>
      <c r="N102" s="13"/>
      <c r="O102" s="13"/>
      <c r="P102" s="13"/>
      <c r="Q102" s="69">
        <v>860.69</v>
      </c>
    </row>
    <row r="103" spans="2:18" s="11" customFormat="1" x14ac:dyDescent="0.25">
      <c r="B103" s="184" t="s">
        <v>73</v>
      </c>
      <c r="C103" s="184"/>
      <c r="D103" s="15"/>
      <c r="F103" s="14"/>
      <c r="G103" s="14">
        <v>2.6</v>
      </c>
      <c r="H103" s="13" t="s">
        <v>74</v>
      </c>
      <c r="L103" s="13" t="s">
        <v>73</v>
      </c>
      <c r="M103" s="13"/>
      <c r="N103" s="13"/>
      <c r="O103" s="13"/>
      <c r="P103" s="13"/>
      <c r="Q103" s="13">
        <v>4.7</v>
      </c>
    </row>
    <row r="104" spans="2:18" s="11" customFormat="1" x14ac:dyDescent="0.25">
      <c r="B104" s="184" t="s">
        <v>70</v>
      </c>
      <c r="C104" s="184"/>
      <c r="D104" s="184"/>
      <c r="F104" s="185" t="s">
        <v>125</v>
      </c>
      <c r="G104" s="185"/>
      <c r="L104" s="13" t="s">
        <v>70</v>
      </c>
      <c r="M104" s="13"/>
      <c r="N104" s="13"/>
      <c r="O104" s="13"/>
      <c r="P104" s="13"/>
      <c r="Q104" s="13" t="s">
        <v>124</v>
      </c>
    </row>
    <row r="105" spans="2:18" s="11" customFormat="1" x14ac:dyDescent="0.25"/>
    <row r="106" spans="2:18" s="11" customFormat="1" x14ac:dyDescent="0.25"/>
    <row r="107" spans="2:18" s="11" customFormat="1" ht="18.75" x14ac:dyDescent="0.3">
      <c r="B107" s="12" t="s">
        <v>69</v>
      </c>
      <c r="C107" s="12"/>
      <c r="D107" s="12" t="s">
        <v>77</v>
      </c>
      <c r="E107" s="13"/>
      <c r="F107" s="13"/>
      <c r="G107" s="13"/>
      <c r="H107" s="13"/>
      <c r="L107" s="12" t="s">
        <v>69</v>
      </c>
      <c r="M107" s="16"/>
      <c r="N107" s="16"/>
      <c r="O107" s="12" t="s">
        <v>78</v>
      </c>
    </row>
    <row r="108" spans="2:18" s="11" customFormat="1" x14ac:dyDescent="0.25">
      <c r="B108" s="13"/>
      <c r="C108" s="13"/>
      <c r="D108" s="13"/>
      <c r="E108" s="13"/>
      <c r="F108" s="13"/>
      <c r="G108" s="13"/>
      <c r="H108" s="13"/>
    </row>
    <row r="109" spans="2:18" s="11" customFormat="1" x14ac:dyDescent="0.25">
      <c r="B109" s="184" t="s">
        <v>66</v>
      </c>
      <c r="C109" s="184"/>
      <c r="D109" s="13"/>
      <c r="E109" s="13"/>
      <c r="F109" s="185">
        <v>400</v>
      </c>
      <c r="G109" s="185"/>
      <c r="H109" s="13"/>
      <c r="L109" s="184" t="s">
        <v>66</v>
      </c>
      <c r="M109" s="184"/>
      <c r="N109" s="13"/>
      <c r="O109" s="13"/>
      <c r="P109" s="185" t="s">
        <v>78</v>
      </c>
      <c r="Q109" s="185"/>
      <c r="R109" s="13"/>
    </row>
    <row r="110" spans="2:18" s="11" customFormat="1" x14ac:dyDescent="0.25">
      <c r="B110" s="13" t="s">
        <v>67</v>
      </c>
      <c r="C110" s="13"/>
      <c r="D110" s="13"/>
      <c r="E110" s="13"/>
      <c r="F110" s="185">
        <v>10</v>
      </c>
      <c r="G110" s="185"/>
      <c r="H110" s="13" t="s">
        <v>154</v>
      </c>
      <c r="L110" s="13" t="s">
        <v>67</v>
      </c>
      <c r="M110" s="13"/>
      <c r="N110" s="13"/>
      <c r="O110" s="13"/>
      <c r="P110" s="185">
        <v>8</v>
      </c>
      <c r="Q110" s="185"/>
      <c r="R110" s="13" t="s">
        <v>154</v>
      </c>
    </row>
    <row r="111" spans="2:18" s="11" customFormat="1" x14ac:dyDescent="0.25">
      <c r="B111" s="13" t="s">
        <v>81</v>
      </c>
      <c r="D111" s="13"/>
      <c r="E111" s="13"/>
      <c r="F111" s="14"/>
      <c r="G111" s="14" t="s">
        <v>82</v>
      </c>
      <c r="L111" s="13" t="s">
        <v>81</v>
      </c>
      <c r="N111" s="13"/>
      <c r="O111" s="13"/>
      <c r="P111" s="14"/>
      <c r="Q111" s="14" t="s">
        <v>83</v>
      </c>
      <c r="R111" s="13"/>
    </row>
    <row r="112" spans="2:18" s="11" customFormat="1" x14ac:dyDescent="0.25">
      <c r="B112" s="184" t="s">
        <v>68</v>
      </c>
      <c r="C112" s="184"/>
      <c r="D112" s="184"/>
      <c r="E112" s="13"/>
      <c r="F112" s="185" t="s">
        <v>87</v>
      </c>
      <c r="G112" s="185"/>
      <c r="H112" s="13"/>
      <c r="L112" s="184" t="s">
        <v>68</v>
      </c>
      <c r="M112" s="184"/>
      <c r="N112" s="184"/>
      <c r="O112" s="13"/>
      <c r="P112" s="185" t="s">
        <v>88</v>
      </c>
      <c r="Q112" s="185"/>
      <c r="R112" s="13"/>
    </row>
    <row r="113" spans="2:21" s="11" customFormat="1" x14ac:dyDescent="0.25">
      <c r="B113" s="184" t="s">
        <v>71</v>
      </c>
      <c r="C113" s="184"/>
      <c r="D113" s="184"/>
      <c r="E113" s="13"/>
      <c r="F113" s="14"/>
      <c r="G113" s="14" t="s">
        <v>89</v>
      </c>
      <c r="H113" s="13"/>
      <c r="L113" s="184" t="s">
        <v>71</v>
      </c>
      <c r="M113" s="184"/>
      <c r="N113" s="184"/>
      <c r="O113" s="13"/>
      <c r="P113" s="14"/>
      <c r="Q113" s="14" t="s">
        <v>90</v>
      </c>
      <c r="R113" s="13"/>
    </row>
    <row r="114" spans="2:21" s="11" customFormat="1" x14ac:dyDescent="0.25">
      <c r="B114" s="184" t="s">
        <v>72</v>
      </c>
      <c r="C114" s="184"/>
      <c r="D114" s="184"/>
      <c r="E114" s="13"/>
      <c r="F114" s="14"/>
      <c r="G114" s="14">
        <v>400</v>
      </c>
      <c r="H114" s="13"/>
      <c r="L114" s="184" t="s">
        <v>72</v>
      </c>
      <c r="M114" s="184"/>
      <c r="N114" s="184"/>
      <c r="O114" s="13"/>
      <c r="P114" s="14"/>
      <c r="Q114" s="14">
        <v>4444</v>
      </c>
      <c r="R114" s="13"/>
    </row>
    <row r="115" spans="2:21" s="11" customFormat="1" x14ac:dyDescent="0.25">
      <c r="B115" s="184" t="s">
        <v>73</v>
      </c>
      <c r="C115" s="184"/>
      <c r="D115" s="15"/>
      <c r="E115" s="13"/>
      <c r="F115" s="14"/>
      <c r="G115" s="14">
        <v>2</v>
      </c>
      <c r="H115" s="13" t="s">
        <v>74</v>
      </c>
      <c r="L115" s="184" t="s">
        <v>73</v>
      </c>
      <c r="M115" s="184"/>
      <c r="N115" s="15"/>
      <c r="O115" s="13"/>
      <c r="P115" s="14"/>
      <c r="Q115" s="14">
        <v>4</v>
      </c>
      <c r="R115" s="13" t="s">
        <v>74</v>
      </c>
    </row>
    <row r="116" spans="2:21" s="11" customFormat="1" x14ac:dyDescent="0.25">
      <c r="B116" s="184" t="s">
        <v>70</v>
      </c>
      <c r="C116" s="184"/>
      <c r="D116" s="184"/>
      <c r="E116" s="13"/>
      <c r="F116" s="185" t="s">
        <v>85</v>
      </c>
      <c r="G116" s="185"/>
      <c r="H116" s="13"/>
      <c r="L116" s="184" t="s">
        <v>70</v>
      </c>
      <c r="M116" s="184"/>
      <c r="N116" s="184"/>
      <c r="O116" s="13"/>
      <c r="P116" s="185" t="s">
        <v>86</v>
      </c>
      <c r="Q116" s="185"/>
      <c r="R116" s="13"/>
    </row>
    <row r="117" spans="2:21" s="11" customFormat="1" x14ac:dyDescent="0.25"/>
    <row r="118" spans="2:21" s="11" customFormat="1" x14ac:dyDescent="0.25"/>
    <row r="119" spans="2:21" s="11" customFormat="1" ht="18.75" x14ac:dyDescent="0.3">
      <c r="Q119" s="12" t="s">
        <v>65</v>
      </c>
      <c r="R119" s="12"/>
      <c r="T119" s="13" t="s">
        <v>130</v>
      </c>
      <c r="U119" s="13"/>
    </row>
    <row r="120" spans="2:21" s="11" customFormat="1" ht="18.75" x14ac:dyDescent="0.3">
      <c r="Q120" s="12" t="s">
        <v>75</v>
      </c>
      <c r="T120" s="13" t="s">
        <v>129</v>
      </c>
      <c r="U120" s="13"/>
    </row>
    <row r="121" spans="2:21" s="11" customFormat="1" ht="18.75" x14ac:dyDescent="0.3">
      <c r="Q121" s="12" t="s">
        <v>77</v>
      </c>
    </row>
    <row r="122" spans="2:21" s="11" customFormat="1" ht="18" customHeight="1" x14ac:dyDescent="0.3">
      <c r="B122" s="186" t="s">
        <v>172</v>
      </c>
      <c r="C122" s="186"/>
      <c r="Q122" s="12" t="s">
        <v>78</v>
      </c>
    </row>
    <row r="123" spans="2:21" ht="0.75" hidden="1" customHeight="1" x14ac:dyDescent="0.25">
      <c r="B123" s="186"/>
      <c r="C123" s="186"/>
    </row>
    <row r="124" spans="2:21" hidden="1" x14ac:dyDescent="0.25">
      <c r="B124" s="186"/>
      <c r="C124" s="186"/>
    </row>
    <row r="125" spans="2:21" x14ac:dyDescent="0.25">
      <c r="B125" s="186"/>
      <c r="C125" s="186"/>
    </row>
    <row r="126" spans="2:21" ht="24.75" x14ac:dyDescent="0.25">
      <c r="B126" s="94" t="s">
        <v>173</v>
      </c>
      <c r="C126" s="9" t="s">
        <v>174</v>
      </c>
      <c r="D126" s="9"/>
      <c r="E126" s="9"/>
      <c r="F126" s="9" t="s">
        <v>175</v>
      </c>
      <c r="G126" s="9"/>
      <c r="H126" s="9"/>
      <c r="I126" s="9" t="s">
        <v>176</v>
      </c>
      <c r="J126" s="9"/>
      <c r="K126" s="9"/>
      <c r="L126" s="9" t="s">
        <v>177</v>
      </c>
      <c r="M126" s="9"/>
      <c r="N126" s="9"/>
    </row>
    <row r="127" spans="2:21" x14ac:dyDescent="0.25">
      <c r="B127" s="5">
        <v>40</v>
      </c>
      <c r="C127" s="2">
        <f>$K$42*(B127*21)</f>
        <v>4049.0369329846144</v>
      </c>
      <c r="F127" s="2">
        <f>(C127+$K$65)*0.05</f>
        <v>1159.2990955593639</v>
      </c>
      <c r="I127" s="2">
        <f>(C127+$K$65+F127)*6%</f>
        <v>1460.7168604047984</v>
      </c>
      <c r="L127" s="31">
        <f>(C127+$K$65+F127+I127)*14.25%</f>
        <v>3677.3546960690801</v>
      </c>
      <c r="M127" s="9"/>
      <c r="N127" s="9"/>
    </row>
    <row r="128" spans="2:21" x14ac:dyDescent="0.25">
      <c r="B128" s="5">
        <v>50</v>
      </c>
      <c r="C128" s="2">
        <f t="shared" ref="C128:C139" si="0">$K$42*(B128*21)</f>
        <v>5061.296166230768</v>
      </c>
      <c r="F128" s="2">
        <f t="shared" ref="F128:F139" si="1">(C128+$K$65)*0.05</f>
        <v>1209.9120572216716</v>
      </c>
      <c r="I128" s="2">
        <f t="shared" ref="I128:I139" si="2">(C128+$K$65+F128)*6%</f>
        <v>1524.4891920993061</v>
      </c>
      <c r="L128" s="31">
        <f t="shared" ref="L128:L139" si="3">(C128+$K$65+F128+I128)*14.25%</f>
        <v>3837.9015411100031</v>
      </c>
      <c r="M128" s="9"/>
      <c r="N128" s="9"/>
    </row>
    <row r="129" spans="2:14" x14ac:dyDescent="0.25">
      <c r="B129" s="5">
        <v>60</v>
      </c>
      <c r="C129" s="2">
        <f t="shared" si="0"/>
        <v>6073.5553994769216</v>
      </c>
      <c r="F129" s="2">
        <f t="shared" si="1"/>
        <v>1260.5250188839793</v>
      </c>
      <c r="I129" s="2">
        <f t="shared" si="2"/>
        <v>1588.2615237938137</v>
      </c>
      <c r="L129" s="31">
        <f t="shared" si="3"/>
        <v>3998.4483861509261</v>
      </c>
      <c r="M129" s="9"/>
      <c r="N129" s="9"/>
    </row>
    <row r="130" spans="2:14" x14ac:dyDescent="0.25">
      <c r="B130" s="5">
        <v>70</v>
      </c>
      <c r="C130" s="2">
        <f t="shared" si="0"/>
        <v>7085.8146327230752</v>
      </c>
      <c r="F130" s="2">
        <f t="shared" si="1"/>
        <v>1311.1379805462871</v>
      </c>
      <c r="I130" s="2">
        <f t="shared" si="2"/>
        <v>1652.0338554883215</v>
      </c>
      <c r="L130" s="31">
        <f t="shared" si="3"/>
        <v>4158.9952311918487</v>
      </c>
      <c r="M130" s="9"/>
      <c r="N130" s="9"/>
    </row>
    <row r="131" spans="2:14" x14ac:dyDescent="0.25">
      <c r="B131" s="5">
        <v>80</v>
      </c>
      <c r="C131" s="2">
        <f t="shared" si="0"/>
        <v>8098.0738659692288</v>
      </c>
      <c r="F131" s="2">
        <f t="shared" si="1"/>
        <v>1361.7509422085948</v>
      </c>
      <c r="I131" s="2">
        <f t="shared" si="2"/>
        <v>1715.806187182829</v>
      </c>
      <c r="L131" s="31">
        <f t="shared" si="3"/>
        <v>4319.5420762327722</v>
      </c>
      <c r="M131" s="9"/>
      <c r="N131" s="9"/>
    </row>
    <row r="132" spans="2:14" x14ac:dyDescent="0.25">
      <c r="B132" s="5">
        <v>90</v>
      </c>
      <c r="C132" s="2">
        <f t="shared" si="0"/>
        <v>9110.3330992153824</v>
      </c>
      <c r="F132" s="2">
        <f t="shared" si="1"/>
        <v>1412.3639038709025</v>
      </c>
      <c r="I132" s="2">
        <f t="shared" si="2"/>
        <v>1779.578518877337</v>
      </c>
      <c r="L132" s="31">
        <f t="shared" si="3"/>
        <v>4480.0889212736956</v>
      </c>
      <c r="M132" s="9"/>
      <c r="N132" s="9"/>
    </row>
    <row r="133" spans="2:14" x14ac:dyDescent="0.25">
      <c r="B133" s="5">
        <v>100</v>
      </c>
      <c r="C133" s="2">
        <f t="shared" si="0"/>
        <v>10122.592332461536</v>
      </c>
      <c r="F133" s="2">
        <f t="shared" si="1"/>
        <v>1462.97686553321</v>
      </c>
      <c r="I133" s="2">
        <f t="shared" si="2"/>
        <v>1843.3508505718444</v>
      </c>
      <c r="L133" s="31">
        <f t="shared" si="3"/>
        <v>4640.6357663146182</v>
      </c>
      <c r="M133" s="9"/>
      <c r="N133" s="9"/>
    </row>
    <row r="134" spans="2:14" x14ac:dyDescent="0.25">
      <c r="B134" s="5">
        <v>110</v>
      </c>
      <c r="C134" s="2">
        <f t="shared" si="0"/>
        <v>11134.85156570769</v>
      </c>
      <c r="F134" s="2">
        <f t="shared" si="1"/>
        <v>1513.5898271955177</v>
      </c>
      <c r="I134" s="2">
        <f t="shared" si="2"/>
        <v>1907.1231822663524</v>
      </c>
      <c r="L134" s="31">
        <f t="shared" si="3"/>
        <v>4801.1826113555417</v>
      </c>
      <c r="M134" s="9"/>
      <c r="N134" s="9"/>
    </row>
    <row r="135" spans="2:14" x14ac:dyDescent="0.25">
      <c r="B135" s="5">
        <v>120</v>
      </c>
      <c r="C135" s="2">
        <f t="shared" si="0"/>
        <v>12147.110798953843</v>
      </c>
      <c r="F135" s="2">
        <f t="shared" si="1"/>
        <v>1564.2027888578255</v>
      </c>
      <c r="I135" s="2">
        <f t="shared" si="2"/>
        <v>1970.8955139608597</v>
      </c>
      <c r="L135" s="31">
        <f t="shared" si="3"/>
        <v>4961.7294563964642</v>
      </c>
      <c r="M135" s="9"/>
      <c r="N135" s="9"/>
    </row>
    <row r="136" spans="2:14" x14ac:dyDescent="0.25">
      <c r="B136" s="5">
        <v>130</v>
      </c>
      <c r="C136" s="2">
        <f t="shared" si="0"/>
        <v>13159.370032199997</v>
      </c>
      <c r="F136" s="2">
        <f t="shared" si="1"/>
        <v>1614.8157505201332</v>
      </c>
      <c r="I136" s="2">
        <f t="shared" si="2"/>
        <v>2034.6678456553677</v>
      </c>
      <c r="L136" s="31">
        <f t="shared" si="3"/>
        <v>5122.2763014373886</v>
      </c>
      <c r="M136" s="9"/>
      <c r="N136" s="9"/>
    </row>
    <row r="137" spans="2:14" x14ac:dyDescent="0.25">
      <c r="B137" s="5">
        <v>140</v>
      </c>
      <c r="C137" s="2">
        <f t="shared" si="0"/>
        <v>14171.62926544615</v>
      </c>
      <c r="F137" s="2">
        <f t="shared" si="1"/>
        <v>1665.4287121824409</v>
      </c>
      <c r="I137" s="2">
        <f t="shared" si="2"/>
        <v>2098.4401773498753</v>
      </c>
      <c r="L137" s="31">
        <f t="shared" si="3"/>
        <v>5282.8231464783103</v>
      </c>
      <c r="M137" s="9"/>
      <c r="N137" s="9"/>
    </row>
    <row r="138" spans="2:14" x14ac:dyDescent="0.25">
      <c r="B138" s="5">
        <v>150</v>
      </c>
      <c r="C138" s="2">
        <f t="shared" si="0"/>
        <v>15183.888498692304</v>
      </c>
      <c r="F138" s="2">
        <f t="shared" si="1"/>
        <v>1716.0416738447486</v>
      </c>
      <c r="I138" s="2">
        <f t="shared" si="2"/>
        <v>2162.2125090443828</v>
      </c>
      <c r="L138" s="31">
        <f t="shared" si="3"/>
        <v>5443.3699915192337</v>
      </c>
      <c r="M138" s="9"/>
      <c r="N138" s="9"/>
    </row>
    <row r="139" spans="2:14" x14ac:dyDescent="0.25">
      <c r="B139" s="5">
        <v>160</v>
      </c>
      <c r="C139" s="2">
        <f t="shared" si="0"/>
        <v>16196.147731938458</v>
      </c>
      <c r="F139" s="2">
        <f t="shared" si="1"/>
        <v>1766.6546355070561</v>
      </c>
      <c r="I139" s="2">
        <f t="shared" si="2"/>
        <v>2225.9848407388904</v>
      </c>
      <c r="L139" s="31">
        <f t="shared" si="3"/>
        <v>5603.9168365601563</v>
      </c>
      <c r="M139" s="9"/>
      <c r="N139" s="9"/>
    </row>
    <row r="140" spans="2:14" x14ac:dyDescent="0.25">
      <c r="B140" s="5"/>
    </row>
    <row r="143" spans="2:14" x14ac:dyDescent="0.25">
      <c r="B143" s="187" t="s">
        <v>178</v>
      </c>
      <c r="C143" s="187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</row>
    <row r="144" spans="2:14" x14ac:dyDescent="0.25">
      <c r="B144" s="187"/>
      <c r="C144" s="187"/>
    </row>
    <row r="145" spans="2:14" x14ac:dyDescent="0.25">
      <c r="B145" s="187"/>
      <c r="C145" s="187"/>
    </row>
    <row r="146" spans="2:14" x14ac:dyDescent="0.25">
      <c r="B146" s="187"/>
      <c r="C146" s="187"/>
    </row>
    <row r="147" spans="2:14" ht="24.75" x14ac:dyDescent="0.25">
      <c r="B147" s="94" t="s">
        <v>173</v>
      </c>
      <c r="C147" s="9" t="s">
        <v>174</v>
      </c>
      <c r="D147" s="9"/>
      <c r="E147" s="9"/>
      <c r="F147" s="9" t="s">
        <v>175</v>
      </c>
      <c r="G147" s="9"/>
      <c r="H147" s="9"/>
      <c r="I147" s="9" t="s">
        <v>176</v>
      </c>
      <c r="J147" s="9"/>
      <c r="K147" s="9"/>
      <c r="L147" s="9" t="s">
        <v>177</v>
      </c>
      <c r="M147" s="9"/>
      <c r="N147" s="9"/>
    </row>
    <row r="148" spans="2:14" x14ac:dyDescent="0.25">
      <c r="B148" s="5">
        <v>40</v>
      </c>
      <c r="C148" s="2">
        <f>($K$42*(B148*21))*1.154</f>
        <v>4672.5886206642444</v>
      </c>
      <c r="F148" s="2">
        <f>(C148+$K$65)*0.05</f>
        <v>1190.4766799433455</v>
      </c>
      <c r="I148" s="2">
        <f>(C148+$K$65+F148)*6%</f>
        <v>1500.0006167286153</v>
      </c>
      <c r="L148" s="31">
        <f>(C148+$K$65+F148+I148)*14.25%</f>
        <v>3776.2515526142888</v>
      </c>
      <c r="M148" s="9"/>
      <c r="N148" s="9"/>
    </row>
    <row r="149" spans="2:14" x14ac:dyDescent="0.25">
      <c r="B149" s="5">
        <v>50</v>
      </c>
      <c r="C149" s="2">
        <f t="shared" ref="C149:C160" si="4">($K$42*(B149*21))*1.154</f>
        <v>5840.735775830306</v>
      </c>
      <c r="F149" s="2">
        <f t="shared" ref="F149:F160" si="5">(C149+$K$65)*0.05</f>
        <v>1248.8840377016486</v>
      </c>
      <c r="I149" s="2">
        <f t="shared" ref="I149:I160" si="6">(C149+$K$65+F149)*6%</f>
        <v>1573.593887504077</v>
      </c>
      <c r="L149" s="31">
        <f t="shared" ref="L149:L160" si="7">(C149+$K$65+F149+I149)*14.25%</f>
        <v>3961.5226117915136</v>
      </c>
      <c r="M149" s="9"/>
      <c r="N149" s="9"/>
    </row>
    <row r="150" spans="2:14" x14ac:dyDescent="0.25">
      <c r="B150" s="5">
        <v>60</v>
      </c>
      <c r="C150" s="2">
        <f t="shared" si="4"/>
        <v>7008.8829309963667</v>
      </c>
      <c r="F150" s="2">
        <f t="shared" si="5"/>
        <v>1307.2913954599517</v>
      </c>
      <c r="I150" s="2">
        <f t="shared" si="6"/>
        <v>1647.1871582795388</v>
      </c>
      <c r="L150" s="31">
        <f t="shared" si="7"/>
        <v>4146.7936709687392</v>
      </c>
      <c r="M150" s="9"/>
      <c r="N150" s="9"/>
    </row>
    <row r="151" spans="2:14" x14ac:dyDescent="0.25">
      <c r="B151" s="5">
        <v>70</v>
      </c>
      <c r="C151" s="2">
        <f t="shared" si="4"/>
        <v>8177.0300861624282</v>
      </c>
      <c r="F151" s="2">
        <f t="shared" si="5"/>
        <v>1365.6987532182548</v>
      </c>
      <c r="I151" s="2">
        <f t="shared" si="6"/>
        <v>1720.7804290550007</v>
      </c>
      <c r="L151" s="31">
        <f t="shared" si="7"/>
        <v>4332.0647301459639</v>
      </c>
      <c r="M151" s="9"/>
      <c r="N151" s="9"/>
    </row>
    <row r="152" spans="2:14" x14ac:dyDescent="0.25">
      <c r="B152" s="5">
        <v>80</v>
      </c>
      <c r="C152" s="2">
        <f t="shared" si="4"/>
        <v>9345.1772413284889</v>
      </c>
      <c r="F152" s="2">
        <f t="shared" si="5"/>
        <v>1424.1061109765578</v>
      </c>
      <c r="I152" s="2">
        <f t="shared" si="6"/>
        <v>1794.3736998304626</v>
      </c>
      <c r="L152" s="31">
        <f t="shared" si="7"/>
        <v>4517.3357893231896</v>
      </c>
      <c r="M152" s="9"/>
      <c r="N152" s="9"/>
    </row>
    <row r="153" spans="2:14" x14ac:dyDescent="0.25">
      <c r="B153" s="5">
        <v>90</v>
      </c>
      <c r="C153" s="2">
        <f t="shared" si="4"/>
        <v>10513.32439649455</v>
      </c>
      <c r="F153" s="2">
        <f t="shared" si="5"/>
        <v>1482.5134687348609</v>
      </c>
      <c r="I153" s="2">
        <f t="shared" si="6"/>
        <v>1867.9669706059244</v>
      </c>
      <c r="L153" s="31">
        <f t="shared" si="7"/>
        <v>4702.6068485004143</v>
      </c>
      <c r="M153" s="9"/>
      <c r="N153" s="9"/>
    </row>
    <row r="154" spans="2:14" x14ac:dyDescent="0.25">
      <c r="B154" s="5">
        <v>100</v>
      </c>
      <c r="C154" s="2">
        <f t="shared" si="4"/>
        <v>11681.471551660612</v>
      </c>
      <c r="F154" s="2">
        <f t="shared" si="5"/>
        <v>1540.920826493164</v>
      </c>
      <c r="I154" s="2">
        <f t="shared" si="6"/>
        <v>1941.5602413813863</v>
      </c>
      <c r="L154" s="31">
        <f t="shared" si="7"/>
        <v>4887.8779076776391</v>
      </c>
      <c r="M154" s="9"/>
      <c r="N154" s="9"/>
    </row>
    <row r="155" spans="2:14" x14ac:dyDescent="0.25">
      <c r="B155" s="5">
        <v>110</v>
      </c>
      <c r="C155" s="2">
        <f t="shared" si="4"/>
        <v>12849.618706826674</v>
      </c>
      <c r="F155" s="2">
        <f t="shared" si="5"/>
        <v>1599.3281842514671</v>
      </c>
      <c r="I155" s="2">
        <f t="shared" si="6"/>
        <v>2015.1535121568484</v>
      </c>
      <c r="L155" s="31">
        <f t="shared" si="7"/>
        <v>5073.1489668548647</v>
      </c>
      <c r="M155" s="9"/>
      <c r="N155" s="9"/>
    </row>
    <row r="156" spans="2:14" x14ac:dyDescent="0.25">
      <c r="B156" s="5">
        <v>120</v>
      </c>
      <c r="C156" s="2">
        <f t="shared" si="4"/>
        <v>14017.765861992733</v>
      </c>
      <c r="F156" s="2">
        <f t="shared" si="5"/>
        <v>1657.7355420097699</v>
      </c>
      <c r="I156" s="2">
        <f t="shared" si="6"/>
        <v>2088.7467829323095</v>
      </c>
      <c r="L156" s="31">
        <f t="shared" si="7"/>
        <v>5258.4200260320886</v>
      </c>
      <c r="M156" s="9"/>
      <c r="N156" s="9"/>
    </row>
    <row r="157" spans="2:14" x14ac:dyDescent="0.25">
      <c r="B157" s="5">
        <v>130</v>
      </c>
      <c r="C157" s="2">
        <f t="shared" si="4"/>
        <v>15185.913017158795</v>
      </c>
      <c r="F157" s="2">
        <f t="shared" si="5"/>
        <v>1716.1428997680732</v>
      </c>
      <c r="I157" s="2">
        <f t="shared" si="6"/>
        <v>2162.3400537077719</v>
      </c>
      <c r="L157" s="31">
        <f t="shared" si="7"/>
        <v>5443.6910852093151</v>
      </c>
      <c r="M157" s="9"/>
      <c r="N157" s="9"/>
    </row>
    <row r="158" spans="2:14" x14ac:dyDescent="0.25">
      <c r="B158" s="5">
        <v>140</v>
      </c>
      <c r="C158" s="2">
        <f t="shared" si="4"/>
        <v>16354.060172324856</v>
      </c>
      <c r="F158" s="2">
        <f t="shared" si="5"/>
        <v>1774.5502575263761</v>
      </c>
      <c r="I158" s="2">
        <f t="shared" si="6"/>
        <v>2235.9333244832337</v>
      </c>
      <c r="L158" s="31">
        <f t="shared" si="7"/>
        <v>5628.9621443865399</v>
      </c>
      <c r="M158" s="9"/>
      <c r="N158" s="9"/>
    </row>
    <row r="159" spans="2:14" x14ac:dyDescent="0.25">
      <c r="B159" s="5">
        <v>150</v>
      </c>
      <c r="C159" s="2">
        <f t="shared" si="4"/>
        <v>17522.207327490916</v>
      </c>
      <c r="F159" s="2">
        <f t="shared" si="5"/>
        <v>1832.9576152846794</v>
      </c>
      <c r="I159" s="2">
        <f t="shared" si="6"/>
        <v>2309.5265952586956</v>
      </c>
      <c r="L159" s="31">
        <f t="shared" si="7"/>
        <v>5814.2332035637655</v>
      </c>
      <c r="M159" s="9"/>
      <c r="N159" s="9"/>
    </row>
    <row r="160" spans="2:14" x14ac:dyDescent="0.25">
      <c r="B160" s="5">
        <v>160</v>
      </c>
      <c r="C160" s="2">
        <f t="shared" si="4"/>
        <v>18690.354482656978</v>
      </c>
      <c r="F160" s="2">
        <f t="shared" si="5"/>
        <v>1891.3649730429822</v>
      </c>
      <c r="I160" s="2">
        <f t="shared" si="6"/>
        <v>2383.1198660341574</v>
      </c>
      <c r="L160" s="31">
        <f t="shared" si="7"/>
        <v>5999.5042627409903</v>
      </c>
      <c r="M160" s="9"/>
      <c r="N160" s="9"/>
    </row>
  </sheetData>
  <mergeCells count="121">
    <mergeCell ref="B116:D116"/>
    <mergeCell ref="F116:G116"/>
    <mergeCell ref="L116:N116"/>
    <mergeCell ref="P116:Q116"/>
    <mergeCell ref="B122:C125"/>
    <mergeCell ref="B143:C146"/>
    <mergeCell ref="B113:D113"/>
    <mergeCell ref="L113:N113"/>
    <mergeCell ref="B114:D114"/>
    <mergeCell ref="L114:N114"/>
    <mergeCell ref="B115:C115"/>
    <mergeCell ref="L115:M115"/>
    <mergeCell ref="L109:M109"/>
    <mergeCell ref="P109:Q109"/>
    <mergeCell ref="F110:G110"/>
    <mergeCell ref="P110:Q110"/>
    <mergeCell ref="B112:D112"/>
    <mergeCell ref="F112:G112"/>
    <mergeCell ref="L112:N112"/>
    <mergeCell ref="P112:Q112"/>
    <mergeCell ref="B101:D101"/>
    <mergeCell ref="B102:D102"/>
    <mergeCell ref="B103:C103"/>
    <mergeCell ref="B104:D104"/>
    <mergeCell ref="F104:G104"/>
    <mergeCell ref="B109:C109"/>
    <mergeCell ref="F109:G109"/>
    <mergeCell ref="D95:E95"/>
    <mergeCell ref="B97:C97"/>
    <mergeCell ref="F97:G97"/>
    <mergeCell ref="F98:G98"/>
    <mergeCell ref="B100:D100"/>
    <mergeCell ref="F100:G100"/>
    <mergeCell ref="A79:J79"/>
    <mergeCell ref="A82:I82"/>
    <mergeCell ref="A84:H84"/>
    <mergeCell ref="A85:J85"/>
    <mergeCell ref="A89:J89"/>
    <mergeCell ref="A90:J90"/>
    <mergeCell ref="A74:E74"/>
    <mergeCell ref="A75:F75"/>
    <mergeCell ref="I75:J75"/>
    <mergeCell ref="I76:J76"/>
    <mergeCell ref="I77:J77"/>
    <mergeCell ref="I78:J78"/>
    <mergeCell ref="A65:J65"/>
    <mergeCell ref="A67:I67"/>
    <mergeCell ref="A69:E69"/>
    <mergeCell ref="I69:J69"/>
    <mergeCell ref="C70:F70"/>
    <mergeCell ref="C71:F71"/>
    <mergeCell ref="C54:F54"/>
    <mergeCell ref="C55:F55"/>
    <mergeCell ref="C58:F58"/>
    <mergeCell ref="C60:G60"/>
    <mergeCell ref="C62:E62"/>
    <mergeCell ref="C63:F63"/>
    <mergeCell ref="A49:E49"/>
    <mergeCell ref="H50:I50"/>
    <mergeCell ref="C51:F51"/>
    <mergeCell ref="H51:I51"/>
    <mergeCell ref="C52:F52"/>
    <mergeCell ref="C53:F53"/>
    <mergeCell ref="B41:D41"/>
    <mergeCell ref="F41:H41"/>
    <mergeCell ref="A42:E42"/>
    <mergeCell ref="A43:J43"/>
    <mergeCell ref="A45:J45"/>
    <mergeCell ref="A47:J47"/>
    <mergeCell ref="A36:E36"/>
    <mergeCell ref="B37:D37"/>
    <mergeCell ref="E37:F37"/>
    <mergeCell ref="B38:D38"/>
    <mergeCell ref="B39:D39"/>
    <mergeCell ref="B40:D40"/>
    <mergeCell ref="A28:D28"/>
    <mergeCell ref="E28:F28"/>
    <mergeCell ref="A31:F31"/>
    <mergeCell ref="A32:D32"/>
    <mergeCell ref="E32:F32"/>
    <mergeCell ref="A33:D33"/>
    <mergeCell ref="A25:D25"/>
    <mergeCell ref="E25:F25"/>
    <mergeCell ref="A26:D26"/>
    <mergeCell ref="E26:F26"/>
    <mergeCell ref="A27:D27"/>
    <mergeCell ref="E27:F27"/>
    <mergeCell ref="K18:N18"/>
    <mergeCell ref="A19:F19"/>
    <mergeCell ref="A20:F20"/>
    <mergeCell ref="A23:F23"/>
    <mergeCell ref="A24:D24"/>
    <mergeCell ref="E24:F24"/>
    <mergeCell ref="A16:D16"/>
    <mergeCell ref="E16:F16"/>
    <mergeCell ref="K16:N17"/>
    <mergeCell ref="H20:N21"/>
    <mergeCell ref="O16:O17"/>
    <mergeCell ref="P16:P17"/>
    <mergeCell ref="T17:V17"/>
    <mergeCell ref="A14:D14"/>
    <mergeCell ref="E14:F14"/>
    <mergeCell ref="K14:N15"/>
    <mergeCell ref="O14:O15"/>
    <mergeCell ref="P14:P15"/>
    <mergeCell ref="E15:F15"/>
    <mergeCell ref="A11:F11"/>
    <mergeCell ref="K11:N11"/>
    <mergeCell ref="A12:C12"/>
    <mergeCell ref="E12:F12"/>
    <mergeCell ref="K12:N12"/>
    <mergeCell ref="A13:D13"/>
    <mergeCell ref="E13:F13"/>
    <mergeCell ref="K13:N13"/>
    <mergeCell ref="C2:F6"/>
    <mergeCell ref="H3:P5"/>
    <mergeCell ref="F7:H7"/>
    <mergeCell ref="K7:N7"/>
    <mergeCell ref="B8:C8"/>
    <mergeCell ref="I9:P9"/>
    <mergeCell ref="A9:F9"/>
  </mergeCells>
  <conditionalFormatting sqref="P19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{8214F50E-D11D-4657-A6FE-C5949790888A}</x14:id>
        </ext>
      </extLst>
    </cfRule>
  </conditionalFormatting>
  <dataValidations disablePrompts="1" count="3">
    <dataValidation type="list" allowBlank="1" showInputMessage="1" showErrorMessage="1" sqref="E15:F15">
      <formula1>"0,1,2,3,4,5,6,7,8,9,10,11,12,13,14,15"</formula1>
    </dataValidation>
    <dataValidation type="list" allowBlank="1" showInputMessage="1" showErrorMessage="1" sqref="L51">
      <formula1>"LINEAR, MÉTODO COLE"</formula1>
    </dataValidation>
    <dataValidation type="list" allowBlank="1" showInputMessage="1" showErrorMessage="1" sqref="F7:H7 T17:V17">
      <formula1>$Q$119:$Q$122</formula1>
    </dataValidation>
  </dataValidations>
  <pageMargins left="0.51181102362204722" right="0.51181102362204722" top="0.78740157480314965" bottom="0.78740157480314965" header="0.31496062992125984" footer="0.31496062992125984"/>
  <pageSetup paperSize="9" scale="50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214F50E-D11D-4657-A6FE-C5949790888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P19</xm:sqref>
        </x14:conditionalFormatting>
      </x14:conditionalFormatting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51">
    <tabColor rgb="FF00B0F0"/>
  </sheetPr>
  <dimension ref="A2:V160"/>
  <sheetViews>
    <sheetView tabSelected="1" view="pageBreakPreview" topLeftCell="A43" zoomScale="85" zoomScaleNormal="100" zoomScaleSheetLayoutView="85" workbookViewId="0">
      <selection activeCell="A57" sqref="A57"/>
    </sheetView>
  </sheetViews>
  <sheetFormatPr defaultColWidth="8.85546875" defaultRowHeight="15" x14ac:dyDescent="0.25"/>
  <cols>
    <col min="2" max="2" width="14.140625" customWidth="1"/>
    <col min="3" max="3" width="15.28515625" customWidth="1"/>
    <col min="5" max="5" width="12.42578125" customWidth="1"/>
    <col min="6" max="6" width="13.5703125" customWidth="1"/>
    <col min="7" max="7" width="12.140625" customWidth="1"/>
    <col min="9" max="9" width="10.7109375" customWidth="1"/>
    <col min="10" max="10" width="12.140625" bestFit="1" customWidth="1"/>
    <col min="11" max="11" width="16.42578125" bestFit="1" customWidth="1"/>
    <col min="12" max="12" width="14.42578125" customWidth="1"/>
    <col min="14" max="14" width="6.42578125" customWidth="1"/>
    <col min="15" max="15" width="9" customWidth="1"/>
    <col min="16" max="16" width="10.42578125" customWidth="1"/>
    <col min="17" max="17" width="15.140625" customWidth="1"/>
    <col min="18" max="18" width="14.7109375" bestFit="1" customWidth="1"/>
    <col min="19" max="19" width="19.42578125" bestFit="1" customWidth="1"/>
  </cols>
  <sheetData>
    <row r="2" spans="1:19" x14ac:dyDescent="0.25">
      <c r="C2" s="239" t="s">
        <v>151</v>
      </c>
      <c r="D2" s="240"/>
      <c r="E2" s="240"/>
      <c r="F2" s="240"/>
    </row>
    <row r="3" spans="1:19" x14ac:dyDescent="0.25">
      <c r="C3" s="240"/>
      <c r="D3" s="240"/>
      <c r="E3" s="240"/>
      <c r="F3" s="240"/>
      <c r="H3" s="241" t="s">
        <v>64</v>
      </c>
      <c r="I3" s="239"/>
      <c r="J3" s="239"/>
      <c r="K3" s="239"/>
      <c r="L3" s="239"/>
      <c r="M3" s="239"/>
      <c r="N3" s="239"/>
      <c r="O3" s="239"/>
      <c r="P3" s="239"/>
    </row>
    <row r="4" spans="1:19" x14ac:dyDescent="0.25">
      <c r="C4" s="240"/>
      <c r="D4" s="240"/>
      <c r="E4" s="240"/>
      <c r="F4" s="240"/>
      <c r="H4" s="239"/>
      <c r="I4" s="239"/>
      <c r="J4" s="239"/>
      <c r="K4" s="239"/>
      <c r="L4" s="239"/>
      <c r="M4" s="239"/>
      <c r="N4" s="239"/>
      <c r="O4" s="239"/>
      <c r="P4" s="239"/>
    </row>
    <row r="5" spans="1:19" x14ac:dyDescent="0.25">
      <c r="C5" s="240"/>
      <c r="D5" s="240"/>
      <c r="E5" s="240"/>
      <c r="F5" s="240"/>
      <c r="H5" s="239"/>
      <c r="I5" s="239"/>
      <c r="J5" s="239"/>
      <c r="K5" s="239"/>
      <c r="L5" s="239"/>
      <c r="M5" s="239"/>
      <c r="N5" s="239"/>
      <c r="O5" s="239"/>
      <c r="P5" s="239"/>
    </row>
    <row r="6" spans="1:19" x14ac:dyDescent="0.25">
      <c r="C6" s="240"/>
      <c r="D6" s="240"/>
      <c r="E6" s="240"/>
      <c r="F6" s="240"/>
    </row>
    <row r="7" spans="1:19" ht="21" x14ac:dyDescent="0.35">
      <c r="E7" s="18" t="s">
        <v>80</v>
      </c>
      <c r="F7" s="235" t="s">
        <v>65</v>
      </c>
      <c r="G7" s="235"/>
      <c r="H7" s="235"/>
      <c r="K7" s="242" t="s">
        <v>286</v>
      </c>
      <c r="L7" s="243"/>
      <c r="M7" s="243"/>
      <c r="N7" s="243"/>
    </row>
    <row r="8" spans="1:19" ht="15.75" x14ac:dyDescent="0.25">
      <c r="B8" s="194"/>
      <c r="C8" s="194"/>
      <c r="D8" s="8"/>
      <c r="E8" s="8"/>
      <c r="F8" s="8"/>
      <c r="J8" s="9"/>
    </row>
    <row r="9" spans="1:19" ht="21" x14ac:dyDescent="0.35">
      <c r="A9" s="235" t="s">
        <v>352</v>
      </c>
      <c r="B9" s="235"/>
      <c r="C9" s="235"/>
      <c r="D9" s="235"/>
      <c r="E9" s="235"/>
      <c r="F9" s="235"/>
      <c r="I9" s="244" t="s">
        <v>157</v>
      </c>
      <c r="J9" s="244"/>
      <c r="K9" s="244"/>
      <c r="L9" s="244"/>
      <c r="M9" s="244"/>
      <c r="N9" s="244"/>
      <c r="O9" s="244"/>
      <c r="P9" s="244"/>
      <c r="R9" s="9" t="s">
        <v>155</v>
      </c>
      <c r="S9" s="9" t="s">
        <v>156</v>
      </c>
    </row>
    <row r="10" spans="1:19" x14ac:dyDescent="0.25">
      <c r="R10" s="2">
        <f>K43</f>
        <v>678.21368627492302</v>
      </c>
      <c r="S10" s="43">
        <f>K45</f>
        <v>3496.5458434788638</v>
      </c>
    </row>
    <row r="11" spans="1:19" ht="17.25" x14ac:dyDescent="0.3">
      <c r="A11" s="236" t="s">
        <v>150</v>
      </c>
      <c r="B11" s="237"/>
      <c r="C11" s="237"/>
      <c r="D11" s="237"/>
      <c r="E11" s="237"/>
      <c r="F11" s="238"/>
      <c r="G11" s="40" t="s">
        <v>0</v>
      </c>
      <c r="K11" s="206" t="s">
        <v>15</v>
      </c>
      <c r="L11" s="206"/>
      <c r="M11" s="206"/>
      <c r="N11" s="206"/>
      <c r="O11" s="161">
        <f>O12+O13</f>
        <v>36.700000000000003</v>
      </c>
      <c r="P11" s="47" t="s">
        <v>14</v>
      </c>
      <c r="R11" s="130">
        <f>K65/O18*O14</f>
        <v>3493.6657044675167</v>
      </c>
      <c r="S11" s="130">
        <f>K65/O18*O16</f>
        <v>15643.279273735146</v>
      </c>
    </row>
    <row r="12" spans="1:19" ht="15.75" x14ac:dyDescent="0.25">
      <c r="A12" s="214" t="s">
        <v>107</v>
      </c>
      <c r="B12" s="215"/>
      <c r="C12" s="215"/>
      <c r="D12" s="48"/>
      <c r="E12" s="218">
        <f>Insumos!$B$4</f>
        <v>531068.38</v>
      </c>
      <c r="F12" s="218"/>
      <c r="G12" s="1"/>
      <c r="K12" s="206" t="s">
        <v>136</v>
      </c>
      <c r="L12" s="206"/>
      <c r="M12" s="206"/>
      <c r="N12" s="206"/>
      <c r="O12" s="150">
        <v>6.7</v>
      </c>
      <c r="P12" s="47" t="s">
        <v>14</v>
      </c>
      <c r="R12" s="2">
        <f>K72/O18*O14</f>
        <v>287.96548405004484</v>
      </c>
      <c r="S12" s="2">
        <f>K72/O18*O16</f>
        <v>1289.39768977632</v>
      </c>
    </row>
    <row r="13" spans="1:19" ht="15.75" x14ac:dyDescent="0.25">
      <c r="A13" s="214" t="s">
        <v>285</v>
      </c>
      <c r="B13" s="215"/>
      <c r="C13" s="215"/>
      <c r="D13" s="216"/>
      <c r="E13" s="198">
        <f>'DEPRECIAÇÃO LINEAR'!D15</f>
        <v>10</v>
      </c>
      <c r="F13" s="198"/>
      <c r="K13" s="206" t="s">
        <v>137</v>
      </c>
      <c r="L13" s="206"/>
      <c r="M13" s="206"/>
      <c r="N13" s="206"/>
      <c r="O13" s="150">
        <v>30</v>
      </c>
      <c r="P13" s="47" t="s">
        <v>14</v>
      </c>
      <c r="R13" s="2">
        <f>K79/O18*O14</f>
        <v>430.25400628409858</v>
      </c>
      <c r="S13" s="2">
        <f>K79/O18*O16</f>
        <v>1926.5104758989487</v>
      </c>
    </row>
    <row r="14" spans="1:19" ht="15" customHeight="1" x14ac:dyDescent="0.25">
      <c r="A14" s="214" t="s">
        <v>23</v>
      </c>
      <c r="B14" s="215"/>
      <c r="C14" s="215"/>
      <c r="D14" s="216"/>
      <c r="E14" s="219">
        <v>2026</v>
      </c>
      <c r="F14" s="220"/>
      <c r="K14" s="223" t="s">
        <v>138</v>
      </c>
      <c r="L14" s="223"/>
      <c r="M14" s="223"/>
      <c r="N14" s="223"/>
      <c r="O14" s="232">
        <f>O12*21</f>
        <v>140.70000000000002</v>
      </c>
      <c r="P14" s="234" t="s">
        <v>14</v>
      </c>
      <c r="R14" s="2">
        <f>SUM(R10:R13)</f>
        <v>4890.0988810765839</v>
      </c>
      <c r="S14" s="2">
        <f>SUM(S10:S13)</f>
        <v>22355.73328288928</v>
      </c>
    </row>
    <row r="15" spans="1:19" ht="15.75" customHeight="1" x14ac:dyDescent="0.25">
      <c r="A15" s="49" t="s">
        <v>79</v>
      </c>
      <c r="B15" s="48"/>
      <c r="C15" s="48"/>
      <c r="D15" s="48"/>
      <c r="E15" s="198">
        <v>0</v>
      </c>
      <c r="F15" s="198"/>
      <c r="G15" s="41" t="s">
        <v>128</v>
      </c>
      <c r="I15" s="28"/>
      <c r="J15" s="28"/>
      <c r="K15" s="223"/>
      <c r="L15" s="223"/>
      <c r="M15" s="223"/>
      <c r="N15" s="223"/>
      <c r="O15" s="233"/>
      <c r="P15" s="234"/>
      <c r="R15" s="31">
        <f>IFERROR(R14/O14,0)</f>
        <v>34.755500220871241</v>
      </c>
      <c r="S15" s="31">
        <f>IFERROR(S14/O16,0)</f>
        <v>35.485290925221079</v>
      </c>
    </row>
    <row r="16" spans="1:19" ht="15" customHeight="1" x14ac:dyDescent="0.25">
      <c r="A16" s="214" t="s">
        <v>84</v>
      </c>
      <c r="B16" s="215"/>
      <c r="C16" s="215"/>
      <c r="D16" s="215"/>
      <c r="E16" s="198" t="str">
        <f>IF($F$7=$D$95,F104,IF($F$7=$D$107,F116,IF($F$7=$N$95,Q104,IF($F$7=$O$107,P116,""))))</f>
        <v>ATÉ 59 ALUNOS</v>
      </c>
      <c r="F16" s="198"/>
      <c r="I16" s="28"/>
      <c r="J16" s="28"/>
      <c r="K16" s="223" t="s">
        <v>139</v>
      </c>
      <c r="L16" s="223"/>
      <c r="M16" s="223"/>
      <c r="N16" s="223"/>
      <c r="O16" s="232">
        <f>O13*21</f>
        <v>630</v>
      </c>
      <c r="P16" s="234" t="s">
        <v>14</v>
      </c>
    </row>
    <row r="17" spans="1:22" ht="15" customHeight="1" x14ac:dyDescent="0.35">
      <c r="I17" s="28"/>
      <c r="J17" s="28"/>
      <c r="K17" s="223"/>
      <c r="L17" s="223"/>
      <c r="M17" s="223"/>
      <c r="N17" s="223"/>
      <c r="O17" s="233"/>
      <c r="P17" s="234"/>
      <c r="R17" s="2">
        <f>R14+S14</f>
        <v>27245.832163965864</v>
      </c>
      <c r="T17" s="235"/>
      <c r="U17" s="235"/>
      <c r="V17" s="235"/>
    </row>
    <row r="18" spans="1:22" ht="15" customHeight="1" x14ac:dyDescent="0.25">
      <c r="I18" s="28"/>
      <c r="J18" s="28"/>
      <c r="K18" s="223" t="s">
        <v>140</v>
      </c>
      <c r="L18" s="223"/>
      <c r="M18" s="223"/>
      <c r="N18" s="223"/>
      <c r="O18" s="46">
        <f>O16+O14</f>
        <v>770.7</v>
      </c>
      <c r="P18" s="47" t="s">
        <v>14</v>
      </c>
      <c r="R18" s="2">
        <f>R17/O18</f>
        <v>35.352059379740318</v>
      </c>
    </row>
    <row r="19" spans="1:22" ht="15.75" customHeight="1" thickBot="1" x14ac:dyDescent="0.35">
      <c r="A19" s="224" t="s">
        <v>1</v>
      </c>
      <c r="B19" s="225"/>
      <c r="C19" s="225"/>
      <c r="D19" s="225"/>
      <c r="E19" s="225"/>
      <c r="F19" s="225"/>
      <c r="I19" s="29"/>
      <c r="J19" s="29"/>
      <c r="K19" s="29"/>
      <c r="L19" s="29"/>
      <c r="M19" s="29"/>
    </row>
    <row r="20" spans="1:22" ht="15" customHeight="1" x14ac:dyDescent="0.25">
      <c r="A20" s="206" t="s">
        <v>106</v>
      </c>
      <c r="B20" s="206"/>
      <c r="C20" s="206"/>
      <c r="D20" s="206"/>
      <c r="E20" s="206"/>
      <c r="F20" s="206"/>
      <c r="H20" s="245" t="s">
        <v>307</v>
      </c>
      <c r="I20" s="246"/>
      <c r="J20" s="246"/>
      <c r="K20" s="246"/>
      <c r="L20" s="246"/>
      <c r="M20" s="246"/>
      <c r="N20" s="247"/>
      <c r="O20" s="93">
        <f>K90</f>
        <v>35.352059379740311</v>
      </c>
      <c r="R20" s="93">
        <f>K90</f>
        <v>35.352059379740311</v>
      </c>
    </row>
    <row r="21" spans="1:22" ht="15.75" thickBot="1" x14ac:dyDescent="0.3">
      <c r="H21" s="248"/>
      <c r="I21" s="249"/>
      <c r="J21" s="249"/>
      <c r="K21" s="249"/>
      <c r="L21" s="249"/>
      <c r="M21" s="249"/>
      <c r="N21" s="250"/>
      <c r="O21" s="2"/>
    </row>
    <row r="23" spans="1:22" ht="17.25" x14ac:dyDescent="0.3">
      <c r="A23" s="224" t="s">
        <v>2</v>
      </c>
      <c r="B23" s="225"/>
      <c r="C23" s="225"/>
      <c r="D23" s="225"/>
      <c r="E23" s="225"/>
      <c r="F23" s="225"/>
      <c r="L23" s="2"/>
    </row>
    <row r="24" spans="1:22" ht="15.75" x14ac:dyDescent="0.25">
      <c r="A24" s="214" t="s">
        <v>11</v>
      </c>
      <c r="B24" s="215"/>
      <c r="C24" s="215"/>
      <c r="D24" s="215"/>
      <c r="E24" s="198">
        <f>IF($F$7=$D$95,F100,IF($F$7=$D$107,F112,IF($F$7=$N$95,Q100,IF($F$7=$O$107,P112,""))))</f>
        <v>6</v>
      </c>
      <c r="F24" s="198"/>
    </row>
    <row r="25" spans="1:22" ht="15.75" x14ac:dyDescent="0.25">
      <c r="A25" s="214" t="s">
        <v>9</v>
      </c>
      <c r="B25" s="215"/>
      <c r="C25" s="215"/>
      <c r="D25" s="216"/>
      <c r="E25" s="218">
        <f>Insumos!$B$5</f>
        <v>2453.2399999999998</v>
      </c>
      <c r="F25" s="218"/>
    </row>
    <row r="26" spans="1:22" ht="15.75" x14ac:dyDescent="0.25">
      <c r="A26" s="214" t="s">
        <v>147</v>
      </c>
      <c r="B26" s="215"/>
      <c r="C26" s="215"/>
      <c r="D26" s="216"/>
      <c r="E26" s="219">
        <v>2</v>
      </c>
      <c r="F26" s="220"/>
    </row>
    <row r="27" spans="1:22" ht="15.75" x14ac:dyDescent="0.25">
      <c r="A27" s="214" t="s">
        <v>148</v>
      </c>
      <c r="B27" s="215"/>
      <c r="C27" s="215"/>
      <c r="D27" s="216"/>
      <c r="E27" s="221">
        <f>Insumos!$B$6</f>
        <v>975.83</v>
      </c>
      <c r="F27" s="222"/>
    </row>
    <row r="28" spans="1:22" ht="15.75" x14ac:dyDescent="0.25">
      <c r="A28" s="214" t="s">
        <v>149</v>
      </c>
      <c r="B28" s="215"/>
      <c r="C28" s="215"/>
      <c r="D28" s="216"/>
      <c r="E28" s="217">
        <v>100000</v>
      </c>
      <c r="F28" s="217"/>
    </row>
    <row r="31" spans="1:22" ht="15.75" x14ac:dyDescent="0.25">
      <c r="A31" s="191" t="s">
        <v>3</v>
      </c>
      <c r="B31" s="192"/>
      <c r="C31" s="192"/>
      <c r="D31" s="192"/>
      <c r="E31" s="192"/>
      <c r="F31" s="192"/>
    </row>
    <row r="32" spans="1:22" ht="15.75" x14ac:dyDescent="0.25">
      <c r="A32" s="214" t="s">
        <v>19</v>
      </c>
      <c r="B32" s="215"/>
      <c r="C32" s="215"/>
      <c r="D32" s="216"/>
      <c r="E32" s="218">
        <f>Insumos!$B$7</f>
        <v>7.6</v>
      </c>
      <c r="F32" s="218"/>
    </row>
    <row r="33" spans="1:14" ht="15.75" x14ac:dyDescent="0.25">
      <c r="A33" s="214" t="s">
        <v>17</v>
      </c>
      <c r="B33" s="215"/>
      <c r="C33" s="215"/>
      <c r="D33" s="216"/>
      <c r="E33" s="46">
        <f>IF($F$7=$D$95,G103,IF($F$7=$D$107,G115,IF($F$7=$N$95,Q103,IF($F$7=$O$107,Q115,""))))</f>
        <v>2.6</v>
      </c>
      <c r="F33" s="50" t="s">
        <v>18</v>
      </c>
    </row>
    <row r="36" spans="1:14" ht="17.25" x14ac:dyDescent="0.3">
      <c r="A36" s="208" t="s">
        <v>20</v>
      </c>
      <c r="B36" s="209"/>
      <c r="C36" s="209"/>
      <c r="D36" s="209"/>
      <c r="E36" s="209"/>
    </row>
    <row r="37" spans="1:14" x14ac:dyDescent="0.25">
      <c r="B37" s="210"/>
      <c r="C37" s="210"/>
      <c r="D37" s="211"/>
      <c r="E37" s="212" t="s">
        <v>4</v>
      </c>
      <c r="F37" s="213"/>
    </row>
    <row r="38" spans="1:14" ht="15.75" x14ac:dyDescent="0.25">
      <c r="A38" s="46" t="s">
        <v>346</v>
      </c>
      <c r="B38" s="214" t="s">
        <v>52</v>
      </c>
      <c r="C38" s="215"/>
      <c r="D38" s="216"/>
      <c r="E38" s="46">
        <f>1/E33</f>
        <v>0.38461538461538458</v>
      </c>
      <c r="F38" s="7" t="s">
        <v>5</v>
      </c>
      <c r="G38" s="7"/>
      <c r="H38" s="7"/>
      <c r="I38" s="7"/>
      <c r="J38" s="7"/>
      <c r="K38" s="58">
        <f>E32*E38</f>
        <v>2.9230769230769225</v>
      </c>
      <c r="L38" s="51" t="s">
        <v>13</v>
      </c>
      <c r="N38" s="2"/>
    </row>
    <row r="39" spans="1:14" ht="15.75" x14ac:dyDescent="0.25">
      <c r="A39" s="46" t="s">
        <v>6</v>
      </c>
      <c r="B39" s="206" t="s">
        <v>152</v>
      </c>
      <c r="C39" s="206"/>
      <c r="D39" s="206"/>
      <c r="E39" s="46">
        <v>0.04</v>
      </c>
      <c r="F39" s="7" t="s">
        <v>5</v>
      </c>
      <c r="G39" s="7"/>
      <c r="H39" s="7"/>
      <c r="I39" s="7"/>
      <c r="J39" s="7"/>
      <c r="K39" s="58">
        <f>E39*E32</f>
        <v>0.30399999999999999</v>
      </c>
      <c r="L39" s="51" t="s">
        <v>13</v>
      </c>
    </row>
    <row r="40" spans="1:14" ht="15.75" x14ac:dyDescent="0.25">
      <c r="A40" s="46" t="s">
        <v>7</v>
      </c>
      <c r="B40" s="206" t="s">
        <v>8</v>
      </c>
      <c r="C40" s="206"/>
      <c r="D40" s="206"/>
      <c r="E40" s="46"/>
      <c r="F40" s="7"/>
      <c r="G40" s="7"/>
      <c r="H40" s="7"/>
      <c r="I40" s="7"/>
      <c r="J40" s="7"/>
      <c r="K40" s="58">
        <f>((E25*E24)+(E26*E24*E27))/E28</f>
        <v>0.26429400000000003</v>
      </c>
      <c r="L40" s="51" t="s">
        <v>13</v>
      </c>
    </row>
    <row r="41" spans="1:14" ht="15.75" x14ac:dyDescent="0.25">
      <c r="A41" s="46" t="s">
        <v>12</v>
      </c>
      <c r="B41" s="206" t="s">
        <v>153</v>
      </c>
      <c r="C41" s="206"/>
      <c r="D41" s="206"/>
      <c r="E41" s="70">
        <v>3.0000000000000001E-6</v>
      </c>
      <c r="F41" s="193" t="s">
        <v>10</v>
      </c>
      <c r="G41" s="193"/>
      <c r="H41" s="193"/>
      <c r="I41" s="7"/>
      <c r="J41" s="7"/>
      <c r="K41" s="58">
        <f>(E41*E12)-(K40)</f>
        <v>1.32891114</v>
      </c>
      <c r="L41" s="51" t="s">
        <v>13</v>
      </c>
    </row>
    <row r="42" spans="1:14" ht="15.75" x14ac:dyDescent="0.25">
      <c r="A42" s="207"/>
      <c r="B42" s="207"/>
      <c r="C42" s="207"/>
      <c r="D42" s="207"/>
      <c r="E42" s="207"/>
      <c r="F42" s="7"/>
      <c r="G42" s="7"/>
      <c r="H42" s="7"/>
      <c r="I42" s="7"/>
      <c r="J42" s="7"/>
      <c r="K42" s="58">
        <f>SUM(K38:K41)</f>
        <v>4.8202820630769221</v>
      </c>
      <c r="L42" s="51" t="s">
        <v>13</v>
      </c>
    </row>
    <row r="43" spans="1:14" ht="21" customHeight="1" x14ac:dyDescent="0.25">
      <c r="A43" s="200" t="s">
        <v>144</v>
      </c>
      <c r="B43" s="200"/>
      <c r="C43" s="200"/>
      <c r="D43" s="200"/>
      <c r="E43" s="200"/>
      <c r="F43" s="200"/>
      <c r="G43" s="200"/>
      <c r="H43" s="200"/>
      <c r="I43" s="200"/>
      <c r="J43" s="200"/>
      <c r="K43" s="68">
        <f>K42*O14</f>
        <v>678.21368627492302</v>
      </c>
      <c r="L43" s="52" t="s">
        <v>16</v>
      </c>
    </row>
    <row r="45" spans="1:14" ht="18.75" x14ac:dyDescent="0.3">
      <c r="A45" s="190" t="s">
        <v>145</v>
      </c>
      <c r="B45" s="190"/>
      <c r="C45" s="190"/>
      <c r="D45" s="190"/>
      <c r="E45" s="190"/>
      <c r="F45" s="190"/>
      <c r="G45" s="190"/>
      <c r="H45" s="190"/>
      <c r="I45" s="190"/>
      <c r="J45" s="190"/>
      <c r="K45" s="65">
        <f>K42*O16*1.1514</f>
        <v>3496.5458434788638</v>
      </c>
      <c r="L45" s="53" t="s">
        <v>16</v>
      </c>
    </row>
    <row r="46" spans="1:14" ht="15.75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</row>
    <row r="47" spans="1:14" ht="18.75" x14ac:dyDescent="0.3">
      <c r="A47" s="190" t="s">
        <v>146</v>
      </c>
      <c r="B47" s="190"/>
      <c r="C47" s="190"/>
      <c r="D47" s="190"/>
      <c r="E47" s="190"/>
      <c r="F47" s="190"/>
      <c r="G47" s="190"/>
      <c r="H47" s="190"/>
      <c r="I47" s="190"/>
      <c r="J47" s="190"/>
      <c r="K47" s="65">
        <f>K43+K45</f>
        <v>4174.7595297537864</v>
      </c>
      <c r="L47" s="54" t="s">
        <v>16</v>
      </c>
    </row>
    <row r="49" spans="1:12" ht="15.75" x14ac:dyDescent="0.25">
      <c r="A49" s="197" t="s">
        <v>21</v>
      </c>
      <c r="B49" s="204"/>
      <c r="C49" s="204"/>
      <c r="D49" s="204"/>
      <c r="E49" s="204"/>
      <c r="F49" s="7"/>
      <c r="G49" s="7"/>
      <c r="H49" s="7"/>
      <c r="I49" s="7"/>
      <c r="J49" s="7"/>
      <c r="K49" s="7"/>
      <c r="L49" s="7"/>
    </row>
    <row r="50" spans="1:12" ht="15.75" x14ac:dyDescent="0.25">
      <c r="A50" s="3"/>
      <c r="B50" s="45"/>
      <c r="C50" s="45"/>
      <c r="D50" s="45"/>
      <c r="E50" s="45"/>
      <c r="F50" s="7"/>
      <c r="G50" s="7"/>
      <c r="H50" s="205" t="s">
        <v>25</v>
      </c>
      <c r="I50" s="205"/>
      <c r="J50" s="7"/>
      <c r="K50" s="7"/>
      <c r="L50" s="7"/>
    </row>
    <row r="51" spans="1:12" ht="15.75" x14ac:dyDescent="0.25">
      <c r="A51" s="7" t="s">
        <v>22</v>
      </c>
      <c r="B51" s="7"/>
      <c r="C51" s="193" t="s">
        <v>24</v>
      </c>
      <c r="D51" s="193"/>
      <c r="E51" s="193"/>
      <c r="F51" s="193"/>
      <c r="G51" s="7"/>
      <c r="H51" s="195"/>
      <c r="I51" s="195"/>
      <c r="J51" s="58"/>
      <c r="K51" s="59">
        <f>IF(L51="LINEAR",'DEPRECIAÇÃO LINEAR'!H23,(VLOOKUP(E15,'DEPRECIAÇÃO LINEAR'!W12:AM25,17,0)))</f>
        <v>3983.0128500000005</v>
      </c>
      <c r="L51" s="55" t="s">
        <v>130</v>
      </c>
    </row>
    <row r="52" spans="1:12" ht="15.75" x14ac:dyDescent="0.25">
      <c r="A52" s="7" t="s">
        <v>26</v>
      </c>
      <c r="B52" s="7"/>
      <c r="C52" s="193" t="s">
        <v>27</v>
      </c>
      <c r="D52" s="193"/>
      <c r="E52" s="193"/>
      <c r="F52" s="193"/>
      <c r="G52" s="7"/>
      <c r="H52" s="7"/>
      <c r="I52" s="7"/>
      <c r="J52" s="58"/>
      <c r="K52" s="58"/>
      <c r="L52" s="7"/>
    </row>
    <row r="53" spans="1:12" ht="15.75" x14ac:dyDescent="0.25">
      <c r="A53" s="7"/>
      <c r="B53" s="7" t="s">
        <v>31</v>
      </c>
      <c r="C53" s="193" t="s">
        <v>28</v>
      </c>
      <c r="D53" s="193"/>
      <c r="E53" s="193"/>
      <c r="F53" s="193"/>
      <c r="G53" s="7"/>
      <c r="H53" s="7"/>
      <c r="I53" s="7"/>
      <c r="J53" s="58"/>
      <c r="K53" s="58">
        <f>'Motorista de Veiculo Pesado'!E90</f>
        <v>8468.4608078400015</v>
      </c>
      <c r="L53" s="7"/>
    </row>
    <row r="54" spans="1:12" ht="15.75" x14ac:dyDescent="0.25">
      <c r="A54" s="7"/>
      <c r="B54" s="7" t="s">
        <v>32</v>
      </c>
      <c r="C54" s="193" t="s">
        <v>29</v>
      </c>
      <c r="D54" s="193"/>
      <c r="E54" s="193"/>
      <c r="F54" s="193"/>
      <c r="G54" s="7"/>
      <c r="H54" s="7"/>
      <c r="I54" s="7"/>
      <c r="J54" s="58"/>
      <c r="K54" s="58">
        <f>'Monitor de Transporte Escolar'!E90</f>
        <v>4485.726463695999</v>
      </c>
      <c r="L54" s="7"/>
    </row>
    <row r="55" spans="1:12" ht="15.75" x14ac:dyDescent="0.25">
      <c r="A55" s="7" t="s">
        <v>30</v>
      </c>
      <c r="B55" s="7"/>
      <c r="C55" s="193" t="s">
        <v>34</v>
      </c>
      <c r="D55" s="193"/>
      <c r="E55" s="193"/>
      <c r="F55" s="193"/>
      <c r="G55" s="7"/>
      <c r="H55" s="7"/>
      <c r="I55" s="7"/>
      <c r="J55" s="58"/>
      <c r="K55" s="58"/>
      <c r="L55" s="56"/>
    </row>
    <row r="56" spans="1:12" ht="15.75" x14ac:dyDescent="0.25">
      <c r="A56" s="7"/>
      <c r="B56" s="7" t="s">
        <v>33</v>
      </c>
      <c r="C56" s="7" t="s">
        <v>35</v>
      </c>
      <c r="D56" s="7"/>
      <c r="E56" s="7"/>
      <c r="F56" s="7"/>
      <c r="G56" s="7"/>
      <c r="H56" s="7"/>
      <c r="I56" s="7"/>
      <c r="J56" s="58">
        <f>1/100*E12</f>
        <v>5310.6837999999998</v>
      </c>
      <c r="K56" s="58">
        <f>J56/12</f>
        <v>442.55698333333333</v>
      </c>
      <c r="L56" s="7"/>
    </row>
    <row r="57" spans="1:12" ht="15.75" x14ac:dyDescent="0.25">
      <c r="A57" s="7"/>
      <c r="B57" s="7" t="s">
        <v>36</v>
      </c>
      <c r="C57" s="7" t="s">
        <v>37</v>
      </c>
      <c r="D57" s="7"/>
      <c r="E57" s="7"/>
      <c r="F57" s="7"/>
      <c r="G57" s="7"/>
      <c r="H57" s="7"/>
      <c r="I57" s="7"/>
      <c r="J57" s="58">
        <v>230.25</v>
      </c>
      <c r="K57" s="58">
        <f>J57/12</f>
        <v>19.1875</v>
      </c>
      <c r="L57" s="7"/>
    </row>
    <row r="58" spans="1:12" ht="15.75" x14ac:dyDescent="0.25">
      <c r="A58" s="7"/>
      <c r="B58" s="7" t="s">
        <v>38</v>
      </c>
      <c r="C58" s="193" t="s">
        <v>39</v>
      </c>
      <c r="D58" s="193"/>
      <c r="E58" s="193"/>
      <c r="F58" s="193"/>
      <c r="G58" s="7"/>
      <c r="H58" s="7"/>
      <c r="I58" s="7"/>
      <c r="J58" s="58">
        <v>161.80000000000001</v>
      </c>
      <c r="K58" s="58">
        <f>J58/12</f>
        <v>13.483333333333334</v>
      </c>
      <c r="L58" s="7"/>
    </row>
    <row r="59" spans="1:12" ht="15.75" x14ac:dyDescent="0.25">
      <c r="A59" s="7" t="s">
        <v>41</v>
      </c>
      <c r="B59" s="7"/>
      <c r="C59" s="7" t="s">
        <v>40</v>
      </c>
      <c r="D59" s="7"/>
      <c r="E59" s="7"/>
      <c r="F59" s="7"/>
      <c r="G59" s="7"/>
      <c r="H59" s="7"/>
      <c r="I59" s="7"/>
      <c r="J59" s="58">
        <v>0</v>
      </c>
      <c r="K59" s="58">
        <f>J59/12</f>
        <v>0</v>
      </c>
      <c r="L59" s="7"/>
    </row>
    <row r="60" spans="1:12" ht="15.75" x14ac:dyDescent="0.25">
      <c r="A60" s="7" t="s">
        <v>57</v>
      </c>
      <c r="B60" s="7"/>
      <c r="C60" s="193" t="s">
        <v>58</v>
      </c>
      <c r="D60" s="193"/>
      <c r="E60" s="193"/>
      <c r="F60" s="193"/>
      <c r="G60" s="193"/>
      <c r="H60" s="7"/>
      <c r="I60" s="7"/>
      <c r="J60" s="58">
        <f>Insumos!$B$8</f>
        <v>350.88</v>
      </c>
      <c r="K60" s="58">
        <f>4*J60</f>
        <v>1403.52</v>
      </c>
      <c r="L60" s="7"/>
    </row>
    <row r="61" spans="1:12" ht="15.75" x14ac:dyDescent="0.25">
      <c r="A61" s="7" t="s">
        <v>60</v>
      </c>
      <c r="B61" s="7"/>
      <c r="C61" s="45" t="s">
        <v>63</v>
      </c>
      <c r="D61" s="45"/>
      <c r="E61" s="45"/>
      <c r="F61" s="45"/>
      <c r="G61" s="45"/>
      <c r="H61" s="7"/>
      <c r="I61" s="7"/>
      <c r="J61" s="58">
        <f>Insumos!$B$9</f>
        <v>2680.95</v>
      </c>
      <c r="K61" s="58">
        <f>J61/12</f>
        <v>223.41249999999999</v>
      </c>
      <c r="L61" s="7"/>
    </row>
    <row r="62" spans="1:12" ht="15.75" x14ac:dyDescent="0.25">
      <c r="A62" s="7" t="s">
        <v>61</v>
      </c>
      <c r="B62" s="7"/>
      <c r="C62" s="193" t="s">
        <v>62</v>
      </c>
      <c r="D62" s="193"/>
      <c r="E62" s="193"/>
      <c r="F62" s="45"/>
      <c r="G62" s="45"/>
      <c r="H62" s="7"/>
      <c r="I62" s="7"/>
      <c r="J62" s="60">
        <f>Insumos!$B$10</f>
        <v>932.23</v>
      </c>
      <c r="K62" s="58">
        <f>J62/12</f>
        <v>77.685833333333335</v>
      </c>
      <c r="L62" s="7"/>
    </row>
    <row r="63" spans="1:12" ht="15.75" x14ac:dyDescent="0.25">
      <c r="A63" s="7" t="s">
        <v>142</v>
      </c>
      <c r="B63" s="7"/>
      <c r="C63" s="203" t="s">
        <v>143</v>
      </c>
      <c r="D63" s="203"/>
      <c r="E63" s="203"/>
      <c r="F63" s="203"/>
      <c r="G63" s="164"/>
      <c r="H63" s="7"/>
      <c r="I63" s="7"/>
      <c r="J63" s="60">
        <f>Insumos!$B$11</f>
        <v>471.82</v>
      </c>
      <c r="K63" s="72">
        <f>J63/24</f>
        <v>19.659166666666668</v>
      </c>
      <c r="L63" s="7"/>
    </row>
    <row r="64" spans="1:12" ht="15.75" x14ac:dyDescent="0.25">
      <c r="A64" s="7" t="s">
        <v>340</v>
      </c>
      <c r="B64" s="7"/>
      <c r="C64" s="165" t="s">
        <v>343</v>
      </c>
      <c r="D64" s="165"/>
      <c r="E64" s="165"/>
      <c r="F64" s="165"/>
      <c r="G64" s="164"/>
      <c r="H64" s="7"/>
      <c r="I64" s="7"/>
      <c r="J64" s="60">
        <f>Insumos!$B$12</f>
        <v>14.372399999999997</v>
      </c>
      <c r="K64" s="72">
        <f>J64/60</f>
        <v>0.23953999999999995</v>
      </c>
      <c r="L64" s="7"/>
    </row>
    <row r="65" spans="1:13" ht="20.25" customHeight="1" x14ac:dyDescent="0.25">
      <c r="A65" s="259" t="s">
        <v>43</v>
      </c>
      <c r="B65" s="260"/>
      <c r="C65" s="260"/>
      <c r="D65" s="260"/>
      <c r="E65" s="260"/>
      <c r="F65" s="260"/>
      <c r="G65" s="260"/>
      <c r="H65" s="260"/>
      <c r="I65" s="260"/>
      <c r="J65" s="261"/>
      <c r="K65" s="67">
        <f>SUM(K51:K64)</f>
        <v>19136.944978202664</v>
      </c>
      <c r="L65" s="57" t="s">
        <v>16</v>
      </c>
      <c r="M65" s="4"/>
    </row>
    <row r="67" spans="1:13" ht="19.5" customHeight="1" x14ac:dyDescent="0.3">
      <c r="A67" s="262" t="s">
        <v>132</v>
      </c>
      <c r="B67" s="263"/>
      <c r="C67" s="263"/>
      <c r="D67" s="263"/>
      <c r="E67" s="263"/>
      <c r="F67" s="263"/>
      <c r="G67" s="263"/>
      <c r="H67" s="263"/>
      <c r="I67" s="264"/>
      <c r="K67" s="66">
        <f>K47+K65</f>
        <v>23311.704507956449</v>
      </c>
    </row>
    <row r="69" spans="1:13" ht="15.75" x14ac:dyDescent="0.25">
      <c r="A69" s="254" t="s">
        <v>133</v>
      </c>
      <c r="B69" s="255"/>
      <c r="C69" s="255"/>
      <c r="D69" s="255"/>
      <c r="E69" s="256"/>
      <c r="I69" s="265" t="s">
        <v>55</v>
      </c>
      <c r="J69" s="266"/>
    </row>
    <row r="70" spans="1:13" ht="15.75" x14ac:dyDescent="0.25">
      <c r="A70" s="7" t="s">
        <v>341</v>
      </c>
      <c r="B70" s="7"/>
      <c r="C70" s="193" t="s">
        <v>54</v>
      </c>
      <c r="D70" s="193"/>
      <c r="E70" s="193"/>
      <c r="F70" s="193"/>
      <c r="G70" s="7"/>
      <c r="H70" s="7"/>
      <c r="I70" s="168">
        <f>Insumos!$B$15</f>
        <v>2.6599999999999999E-2</v>
      </c>
      <c r="J70" s="7"/>
      <c r="K70" s="58">
        <f>I70*K67</f>
        <v>620.09133991164151</v>
      </c>
      <c r="L70" s="7"/>
    </row>
    <row r="71" spans="1:13" ht="15.75" x14ac:dyDescent="0.25">
      <c r="A71" s="7" t="s">
        <v>342</v>
      </c>
      <c r="B71" s="7"/>
      <c r="C71" s="193" t="s">
        <v>59</v>
      </c>
      <c r="D71" s="193"/>
      <c r="E71" s="193"/>
      <c r="F71" s="193"/>
      <c r="G71" s="7"/>
      <c r="H71" s="7"/>
      <c r="I71" s="169">
        <f>Insumos!$B$16</f>
        <v>0.04</v>
      </c>
      <c r="J71" s="7"/>
      <c r="K71" s="58">
        <f>I71*(K67+K70)</f>
        <v>957.27183391472352</v>
      </c>
      <c r="L71" s="7"/>
    </row>
    <row r="72" spans="1:13" ht="18.75" x14ac:dyDescent="0.3">
      <c r="A72" s="7"/>
      <c r="B72" s="7"/>
      <c r="C72" s="7"/>
      <c r="D72" s="7"/>
      <c r="E72" s="7"/>
      <c r="F72" s="7"/>
      <c r="G72" s="7"/>
      <c r="H72" s="7"/>
      <c r="I72" s="7"/>
      <c r="J72" s="61" t="s">
        <v>131</v>
      </c>
      <c r="K72" s="65">
        <f>SUM(K70:K71)</f>
        <v>1577.363173826365</v>
      </c>
      <c r="L72" s="54" t="s">
        <v>16</v>
      </c>
    </row>
    <row r="74" spans="1:13" ht="15.75" x14ac:dyDescent="0.25">
      <c r="A74" s="254" t="s">
        <v>134</v>
      </c>
      <c r="B74" s="255"/>
      <c r="C74" s="255"/>
      <c r="D74" s="255"/>
      <c r="E74" s="256"/>
      <c r="F74" s="7"/>
      <c r="G74" s="7"/>
      <c r="H74" s="7"/>
      <c r="I74" s="7"/>
      <c r="J74" s="7"/>
      <c r="K74" s="7"/>
      <c r="L74" s="7"/>
    </row>
    <row r="75" spans="1:13" ht="15.75" x14ac:dyDescent="0.25">
      <c r="A75" s="193" t="s">
        <v>42</v>
      </c>
      <c r="B75" s="193"/>
      <c r="C75" s="193"/>
      <c r="D75" s="193"/>
      <c r="E75" s="193"/>
      <c r="F75" s="193"/>
      <c r="G75" s="7"/>
      <c r="H75" s="7"/>
      <c r="I75" s="219" t="s">
        <v>47</v>
      </c>
      <c r="J75" s="220"/>
      <c r="K75" s="51">
        <f>K67+K72</f>
        <v>24889.067681782813</v>
      </c>
      <c r="L75" s="7"/>
    </row>
    <row r="76" spans="1:13" ht="15.75" x14ac:dyDescent="0.25">
      <c r="A76" s="7" t="s">
        <v>53</v>
      </c>
      <c r="C76" s="7" t="s">
        <v>44</v>
      </c>
      <c r="D76" s="7"/>
      <c r="E76" s="7"/>
      <c r="F76" s="7"/>
      <c r="G76" s="7"/>
      <c r="H76" s="7"/>
      <c r="I76" s="257">
        <f>Insumos!$B$18</f>
        <v>0.05</v>
      </c>
      <c r="J76" s="258"/>
      <c r="K76" s="51">
        <f>$K$75/(1-(SUM($I$76:$J$78)))*I76</f>
        <v>1362.291608198293</v>
      </c>
      <c r="L76" s="7"/>
    </row>
    <row r="77" spans="1:13" ht="15.75" x14ac:dyDescent="0.25">
      <c r="A77" s="7" t="s">
        <v>344</v>
      </c>
      <c r="C77" s="7" t="s">
        <v>45</v>
      </c>
      <c r="D77" s="7"/>
      <c r="E77" s="7"/>
      <c r="F77" s="7"/>
      <c r="G77" s="7"/>
      <c r="H77" s="7"/>
      <c r="I77" s="257">
        <f>Insumos!$B$19</f>
        <v>6.4999999999999997E-3</v>
      </c>
      <c r="J77" s="258"/>
      <c r="K77" s="51">
        <f>$K$75/(1-(SUM($I$76:$J$78)))*I77</f>
        <v>177.09790906577808</v>
      </c>
      <c r="L77" s="7"/>
    </row>
    <row r="78" spans="1:13" ht="15.75" x14ac:dyDescent="0.25">
      <c r="A78" s="7" t="s">
        <v>345</v>
      </c>
      <c r="C78" s="7" t="s">
        <v>46</v>
      </c>
      <c r="D78" s="7"/>
      <c r="E78" s="7"/>
      <c r="F78" s="7"/>
      <c r="G78" s="7"/>
      <c r="H78" s="7"/>
      <c r="I78" s="257">
        <f>Insumos!$B$20</f>
        <v>0.03</v>
      </c>
      <c r="J78" s="258"/>
      <c r="K78" s="51">
        <f>$K$75/(1-(SUM($I$76:$J$78)))*I78</f>
        <v>817.37496491897582</v>
      </c>
      <c r="L78" s="7"/>
    </row>
    <row r="79" spans="1:13" ht="21" customHeight="1" x14ac:dyDescent="0.3">
      <c r="A79" s="251" t="s">
        <v>48</v>
      </c>
      <c r="B79" s="252"/>
      <c r="C79" s="252"/>
      <c r="D79" s="252"/>
      <c r="E79" s="252"/>
      <c r="F79" s="252"/>
      <c r="G79" s="252"/>
      <c r="H79" s="252"/>
      <c r="I79" s="252"/>
      <c r="J79" s="253"/>
      <c r="K79" s="64">
        <f>SUM(K76:K78)</f>
        <v>2356.7644821830472</v>
      </c>
      <c r="L79" s="54" t="s">
        <v>16</v>
      </c>
    </row>
    <row r="81" spans="1:20" x14ac:dyDescent="0.25">
      <c r="C81" s="5"/>
      <c r="D81" s="5"/>
      <c r="E81" s="5"/>
      <c r="F81" s="5"/>
      <c r="K81" s="2"/>
    </row>
    <row r="82" spans="1:20" ht="15.75" x14ac:dyDescent="0.25">
      <c r="A82" s="191" t="s">
        <v>56</v>
      </c>
      <c r="B82" s="191"/>
      <c r="C82" s="191"/>
      <c r="D82" s="191"/>
      <c r="E82" s="191"/>
      <c r="F82" s="191"/>
      <c r="G82" s="191"/>
      <c r="H82" s="191"/>
      <c r="I82" s="191"/>
      <c r="T82" s="43"/>
    </row>
    <row r="83" spans="1:20" ht="15.75" x14ac:dyDescent="0.25">
      <c r="A83" s="6"/>
      <c r="B83" s="6"/>
      <c r="C83" s="6"/>
      <c r="D83" s="6"/>
      <c r="E83" s="6"/>
      <c r="F83" s="6"/>
      <c r="G83" s="6"/>
      <c r="H83" s="6"/>
      <c r="I83" s="6"/>
    </row>
    <row r="84" spans="1:20" ht="15.75" x14ac:dyDescent="0.25">
      <c r="A84" s="191" t="s">
        <v>51</v>
      </c>
      <c r="B84" s="192"/>
      <c r="C84" s="192"/>
      <c r="D84" s="192"/>
      <c r="E84" s="192"/>
      <c r="F84" s="192"/>
      <c r="G84" s="192"/>
      <c r="H84" s="192"/>
    </row>
    <row r="85" spans="1:20" ht="20.25" customHeight="1" x14ac:dyDescent="0.3">
      <c r="A85" s="193" t="s">
        <v>135</v>
      </c>
      <c r="B85" s="193"/>
      <c r="C85" s="193"/>
      <c r="D85" s="193"/>
      <c r="E85" s="193"/>
      <c r="F85" s="193"/>
      <c r="G85" s="193"/>
      <c r="H85" s="193"/>
      <c r="I85" s="193"/>
      <c r="J85" s="193"/>
      <c r="K85" s="62">
        <f>K67+K72+K79</f>
        <v>27245.832163965861</v>
      </c>
    </row>
    <row r="86" spans="1:20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2"/>
    </row>
    <row r="87" spans="1:20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2"/>
      <c r="P87" s="42"/>
    </row>
    <row r="88" spans="1:20" ht="8.25" customHeight="1" x14ac:dyDescent="0.25"/>
    <row r="89" spans="1:20" ht="16.5" customHeight="1" x14ac:dyDescent="0.25">
      <c r="A89" s="194" t="s">
        <v>49</v>
      </c>
      <c r="B89" s="195"/>
      <c r="C89" s="195"/>
      <c r="D89" s="195"/>
      <c r="E89" s="195"/>
      <c r="F89" s="195"/>
      <c r="G89" s="195"/>
      <c r="H89" s="195"/>
      <c r="I89" s="195"/>
      <c r="J89" s="195"/>
      <c r="K89" s="7"/>
      <c r="L89" s="7"/>
    </row>
    <row r="90" spans="1:20" ht="24.75" customHeight="1" x14ac:dyDescent="0.3">
      <c r="A90" s="196" t="s">
        <v>141</v>
      </c>
      <c r="B90" s="196"/>
      <c r="C90" s="196"/>
      <c r="D90" s="196"/>
      <c r="E90" s="196"/>
      <c r="F90" s="196"/>
      <c r="G90" s="196"/>
      <c r="H90" s="196"/>
      <c r="I90" s="196"/>
      <c r="J90" s="196"/>
      <c r="K90" s="71">
        <f>K85/O18</f>
        <v>35.352059379740311</v>
      </c>
      <c r="L90" s="63" t="s">
        <v>50</v>
      </c>
    </row>
    <row r="94" spans="1:20" s="10" customFormat="1" x14ac:dyDescent="0.25"/>
    <row r="95" spans="1:20" s="11" customFormat="1" ht="18.75" x14ac:dyDescent="0.3">
      <c r="B95" s="12" t="s">
        <v>69</v>
      </c>
      <c r="D95" s="188" t="s">
        <v>65</v>
      </c>
      <c r="E95" s="188"/>
      <c r="L95" s="12" t="s">
        <v>69</v>
      </c>
      <c r="M95" s="12"/>
      <c r="N95" s="12" t="s">
        <v>75</v>
      </c>
      <c r="O95" s="12"/>
    </row>
    <row r="96" spans="1:20" s="11" customFormat="1" x14ac:dyDescent="0.25"/>
    <row r="97" spans="2:18" s="11" customFormat="1" x14ac:dyDescent="0.25">
      <c r="B97" s="184" t="s">
        <v>66</v>
      </c>
      <c r="C97" s="184"/>
      <c r="D97" s="13"/>
      <c r="E97" s="13"/>
      <c r="F97" s="189">
        <v>288912</v>
      </c>
      <c r="G97" s="189"/>
      <c r="L97" s="13" t="s">
        <v>66</v>
      </c>
      <c r="M97" s="13"/>
      <c r="N97" s="13"/>
      <c r="O97" s="13"/>
      <c r="P97" s="13"/>
      <c r="Q97" s="30">
        <v>271500</v>
      </c>
    </row>
    <row r="98" spans="2:18" s="11" customFormat="1" x14ac:dyDescent="0.25">
      <c r="B98" s="13" t="s">
        <v>67</v>
      </c>
      <c r="D98" s="13"/>
      <c r="E98" s="13"/>
      <c r="F98" s="185">
        <v>10</v>
      </c>
      <c r="G98" s="185"/>
      <c r="H98" s="11" t="s">
        <v>154</v>
      </c>
      <c r="L98" s="13" t="s">
        <v>67</v>
      </c>
      <c r="M98" s="13"/>
      <c r="N98" s="13"/>
      <c r="O98" s="13"/>
      <c r="P98" s="13"/>
      <c r="Q98" s="13">
        <v>10</v>
      </c>
      <c r="R98" s="11" t="s">
        <v>154</v>
      </c>
    </row>
    <row r="99" spans="2:18" s="11" customFormat="1" x14ac:dyDescent="0.25">
      <c r="B99" s="13" t="s">
        <v>81</v>
      </c>
      <c r="D99" s="13"/>
      <c r="E99" s="13"/>
      <c r="F99" s="14"/>
      <c r="G99" s="14">
        <v>2018</v>
      </c>
      <c r="L99" s="13" t="s">
        <v>81</v>
      </c>
      <c r="N99" s="13"/>
      <c r="O99" s="13"/>
      <c r="P99" s="14"/>
      <c r="Q99" s="14">
        <v>2018</v>
      </c>
    </row>
    <row r="100" spans="2:18" s="11" customFormat="1" x14ac:dyDescent="0.25">
      <c r="B100" s="184" t="s">
        <v>68</v>
      </c>
      <c r="C100" s="184"/>
      <c r="D100" s="184"/>
      <c r="F100" s="185">
        <v>6</v>
      </c>
      <c r="G100" s="185"/>
      <c r="L100" s="13" t="s">
        <v>76</v>
      </c>
      <c r="M100" s="13"/>
      <c r="N100" s="13"/>
      <c r="O100" s="13"/>
      <c r="P100" s="13"/>
      <c r="Q100" s="13">
        <v>6</v>
      </c>
    </row>
    <row r="101" spans="2:18" s="11" customFormat="1" x14ac:dyDescent="0.25">
      <c r="B101" s="184" t="s">
        <v>71</v>
      </c>
      <c r="C101" s="184"/>
      <c r="D101" s="184"/>
      <c r="F101" s="14"/>
      <c r="G101" s="17">
        <v>100000</v>
      </c>
      <c r="L101" s="13" t="s">
        <v>71</v>
      </c>
      <c r="M101" s="13"/>
      <c r="N101" s="13"/>
      <c r="O101" s="13"/>
      <c r="P101" s="13"/>
      <c r="Q101" s="19">
        <v>100000</v>
      </c>
    </row>
    <row r="102" spans="2:18" s="11" customFormat="1" x14ac:dyDescent="0.25">
      <c r="B102" s="184" t="s">
        <v>72</v>
      </c>
      <c r="C102" s="184"/>
      <c r="D102" s="184"/>
      <c r="F102" s="14"/>
      <c r="G102" s="20">
        <v>1533.77</v>
      </c>
      <c r="L102" s="13" t="s">
        <v>72</v>
      </c>
      <c r="M102" s="13"/>
      <c r="N102" s="13"/>
      <c r="O102" s="13"/>
      <c r="P102" s="13"/>
      <c r="Q102" s="69">
        <v>860.69</v>
      </c>
    </row>
    <row r="103" spans="2:18" s="11" customFormat="1" x14ac:dyDescent="0.25">
      <c r="B103" s="184" t="s">
        <v>73</v>
      </c>
      <c r="C103" s="184"/>
      <c r="D103" s="15"/>
      <c r="F103" s="14"/>
      <c r="G103" s="14">
        <v>2.6</v>
      </c>
      <c r="H103" s="13" t="s">
        <v>74</v>
      </c>
      <c r="L103" s="13" t="s">
        <v>73</v>
      </c>
      <c r="M103" s="13"/>
      <c r="N103" s="13"/>
      <c r="O103" s="13"/>
      <c r="P103" s="13"/>
      <c r="Q103" s="13">
        <v>4.7</v>
      </c>
    </row>
    <row r="104" spans="2:18" s="11" customFormat="1" x14ac:dyDescent="0.25">
      <c r="B104" s="184" t="s">
        <v>70</v>
      </c>
      <c r="C104" s="184"/>
      <c r="D104" s="184"/>
      <c r="F104" s="185" t="s">
        <v>125</v>
      </c>
      <c r="G104" s="185"/>
      <c r="L104" s="13" t="s">
        <v>70</v>
      </c>
      <c r="M104" s="13"/>
      <c r="N104" s="13"/>
      <c r="O104" s="13"/>
      <c r="P104" s="13"/>
      <c r="Q104" s="13" t="s">
        <v>124</v>
      </c>
    </row>
    <row r="105" spans="2:18" s="11" customFormat="1" x14ac:dyDescent="0.25"/>
    <row r="106" spans="2:18" s="11" customFormat="1" x14ac:dyDescent="0.25"/>
    <row r="107" spans="2:18" s="11" customFormat="1" ht="18.75" x14ac:dyDescent="0.3">
      <c r="B107" s="12" t="s">
        <v>69</v>
      </c>
      <c r="C107" s="12"/>
      <c r="D107" s="12" t="s">
        <v>77</v>
      </c>
      <c r="E107" s="13"/>
      <c r="F107" s="13"/>
      <c r="G107" s="13"/>
      <c r="H107" s="13"/>
      <c r="L107" s="12" t="s">
        <v>69</v>
      </c>
      <c r="M107" s="16"/>
      <c r="N107" s="16"/>
      <c r="O107" s="12" t="s">
        <v>78</v>
      </c>
    </row>
    <row r="108" spans="2:18" s="11" customFormat="1" x14ac:dyDescent="0.25">
      <c r="B108" s="13"/>
      <c r="C108" s="13"/>
      <c r="D108" s="13"/>
      <c r="E108" s="13"/>
      <c r="F108" s="13"/>
      <c r="G108" s="13"/>
      <c r="H108" s="13"/>
    </row>
    <row r="109" spans="2:18" s="11" customFormat="1" x14ac:dyDescent="0.25">
      <c r="B109" s="184" t="s">
        <v>66</v>
      </c>
      <c r="C109" s="184"/>
      <c r="D109" s="13"/>
      <c r="E109" s="13"/>
      <c r="F109" s="185">
        <v>400</v>
      </c>
      <c r="G109" s="185"/>
      <c r="H109" s="13"/>
      <c r="L109" s="184" t="s">
        <v>66</v>
      </c>
      <c r="M109" s="184"/>
      <c r="N109" s="13"/>
      <c r="O109" s="13"/>
      <c r="P109" s="185" t="s">
        <v>78</v>
      </c>
      <c r="Q109" s="185"/>
      <c r="R109" s="13"/>
    </row>
    <row r="110" spans="2:18" s="11" customFormat="1" x14ac:dyDescent="0.25">
      <c r="B110" s="13" t="s">
        <v>67</v>
      </c>
      <c r="C110" s="13"/>
      <c r="D110" s="13"/>
      <c r="E110" s="13"/>
      <c r="F110" s="185">
        <v>10</v>
      </c>
      <c r="G110" s="185"/>
      <c r="H110" s="13" t="s">
        <v>154</v>
      </c>
      <c r="L110" s="13" t="s">
        <v>67</v>
      </c>
      <c r="M110" s="13"/>
      <c r="N110" s="13"/>
      <c r="O110" s="13"/>
      <c r="P110" s="185">
        <v>8</v>
      </c>
      <c r="Q110" s="185"/>
      <c r="R110" s="13" t="s">
        <v>154</v>
      </c>
    </row>
    <row r="111" spans="2:18" s="11" customFormat="1" x14ac:dyDescent="0.25">
      <c r="B111" s="13" t="s">
        <v>81</v>
      </c>
      <c r="D111" s="13"/>
      <c r="E111" s="13"/>
      <c r="F111" s="14"/>
      <c r="G111" s="14" t="s">
        <v>82</v>
      </c>
      <c r="L111" s="13" t="s">
        <v>81</v>
      </c>
      <c r="N111" s="13"/>
      <c r="O111" s="13"/>
      <c r="P111" s="14"/>
      <c r="Q111" s="14" t="s">
        <v>83</v>
      </c>
      <c r="R111" s="13"/>
    </row>
    <row r="112" spans="2:18" s="11" customFormat="1" x14ac:dyDescent="0.25">
      <c r="B112" s="184" t="s">
        <v>68</v>
      </c>
      <c r="C112" s="184"/>
      <c r="D112" s="184"/>
      <c r="E112" s="13"/>
      <c r="F112" s="185" t="s">
        <v>87</v>
      </c>
      <c r="G112" s="185"/>
      <c r="H112" s="13"/>
      <c r="L112" s="184" t="s">
        <v>68</v>
      </c>
      <c r="M112" s="184"/>
      <c r="N112" s="184"/>
      <c r="O112" s="13"/>
      <c r="P112" s="185" t="s">
        <v>88</v>
      </c>
      <c r="Q112" s="185"/>
      <c r="R112" s="13"/>
    </row>
    <row r="113" spans="2:21" s="11" customFormat="1" x14ac:dyDescent="0.25">
      <c r="B113" s="184" t="s">
        <v>71</v>
      </c>
      <c r="C113" s="184"/>
      <c r="D113" s="184"/>
      <c r="E113" s="13"/>
      <c r="F113" s="14"/>
      <c r="G113" s="14" t="s">
        <v>89</v>
      </c>
      <c r="H113" s="13"/>
      <c r="L113" s="184" t="s">
        <v>71</v>
      </c>
      <c r="M113" s="184"/>
      <c r="N113" s="184"/>
      <c r="O113" s="13"/>
      <c r="P113" s="14"/>
      <c r="Q113" s="14" t="s">
        <v>90</v>
      </c>
      <c r="R113" s="13"/>
    </row>
    <row r="114" spans="2:21" s="11" customFormat="1" x14ac:dyDescent="0.25">
      <c r="B114" s="184" t="s">
        <v>72</v>
      </c>
      <c r="C114" s="184"/>
      <c r="D114" s="184"/>
      <c r="E114" s="13"/>
      <c r="F114" s="14"/>
      <c r="G114" s="14">
        <v>400</v>
      </c>
      <c r="H114" s="13"/>
      <c r="L114" s="184" t="s">
        <v>72</v>
      </c>
      <c r="M114" s="184"/>
      <c r="N114" s="184"/>
      <c r="O114" s="13"/>
      <c r="P114" s="14"/>
      <c r="Q114" s="14">
        <v>4444</v>
      </c>
      <c r="R114" s="13"/>
    </row>
    <row r="115" spans="2:21" s="11" customFormat="1" x14ac:dyDescent="0.25">
      <c r="B115" s="184" t="s">
        <v>73</v>
      </c>
      <c r="C115" s="184"/>
      <c r="D115" s="15"/>
      <c r="E115" s="13"/>
      <c r="F115" s="14"/>
      <c r="G115" s="14">
        <v>2</v>
      </c>
      <c r="H115" s="13" t="s">
        <v>74</v>
      </c>
      <c r="L115" s="184" t="s">
        <v>73</v>
      </c>
      <c r="M115" s="184"/>
      <c r="N115" s="15"/>
      <c r="O115" s="13"/>
      <c r="P115" s="14"/>
      <c r="Q115" s="14">
        <v>4</v>
      </c>
      <c r="R115" s="13" t="s">
        <v>74</v>
      </c>
    </row>
    <row r="116" spans="2:21" s="11" customFormat="1" x14ac:dyDescent="0.25">
      <c r="B116" s="184" t="s">
        <v>70</v>
      </c>
      <c r="C116" s="184"/>
      <c r="D116" s="184"/>
      <c r="E116" s="13"/>
      <c r="F116" s="185" t="s">
        <v>85</v>
      </c>
      <c r="G116" s="185"/>
      <c r="H116" s="13"/>
      <c r="L116" s="184" t="s">
        <v>70</v>
      </c>
      <c r="M116" s="184"/>
      <c r="N116" s="184"/>
      <c r="O116" s="13"/>
      <c r="P116" s="185" t="s">
        <v>86</v>
      </c>
      <c r="Q116" s="185"/>
      <c r="R116" s="13"/>
    </row>
    <row r="117" spans="2:21" s="11" customFormat="1" x14ac:dyDescent="0.25"/>
    <row r="118" spans="2:21" s="11" customFormat="1" x14ac:dyDescent="0.25"/>
    <row r="119" spans="2:21" s="11" customFormat="1" ht="18.75" x14ac:dyDescent="0.3">
      <c r="Q119" s="12" t="s">
        <v>65</v>
      </c>
      <c r="R119" s="12"/>
      <c r="T119" s="13" t="s">
        <v>130</v>
      </c>
      <c r="U119" s="13"/>
    </row>
    <row r="120" spans="2:21" s="11" customFormat="1" ht="18.75" x14ac:dyDescent="0.3">
      <c r="Q120" s="12" t="s">
        <v>75</v>
      </c>
      <c r="T120" s="13" t="s">
        <v>129</v>
      </c>
      <c r="U120" s="13"/>
    </row>
    <row r="121" spans="2:21" s="11" customFormat="1" ht="18.75" x14ac:dyDescent="0.3">
      <c r="Q121" s="12" t="s">
        <v>77</v>
      </c>
    </row>
    <row r="122" spans="2:21" s="11" customFormat="1" ht="18" customHeight="1" x14ac:dyDescent="0.3">
      <c r="B122" s="186" t="s">
        <v>172</v>
      </c>
      <c r="C122" s="186"/>
      <c r="Q122" s="12" t="s">
        <v>78</v>
      </c>
    </row>
    <row r="123" spans="2:21" ht="0.75" hidden="1" customHeight="1" x14ac:dyDescent="0.25">
      <c r="B123" s="186"/>
      <c r="C123" s="186"/>
    </row>
    <row r="124" spans="2:21" hidden="1" x14ac:dyDescent="0.25">
      <c r="B124" s="186"/>
      <c r="C124" s="186"/>
    </row>
    <row r="125" spans="2:21" x14ac:dyDescent="0.25">
      <c r="B125" s="186"/>
      <c r="C125" s="186"/>
    </row>
    <row r="126" spans="2:21" ht="24.75" x14ac:dyDescent="0.25">
      <c r="B126" s="94" t="s">
        <v>173</v>
      </c>
      <c r="C126" s="9" t="s">
        <v>174</v>
      </c>
      <c r="D126" s="9"/>
      <c r="E126" s="9"/>
      <c r="F126" s="9" t="s">
        <v>175</v>
      </c>
      <c r="G126" s="9"/>
      <c r="H126" s="9"/>
      <c r="I126" s="9" t="s">
        <v>176</v>
      </c>
      <c r="J126" s="9"/>
      <c r="K126" s="9"/>
      <c r="L126" s="9" t="s">
        <v>177</v>
      </c>
      <c r="M126" s="9"/>
      <c r="N126" s="9"/>
    </row>
    <row r="127" spans="2:21" x14ac:dyDescent="0.25">
      <c r="B127" s="5">
        <v>40</v>
      </c>
      <c r="C127" s="2">
        <f>$K$42*(B127*21)</f>
        <v>4049.0369329846144</v>
      </c>
      <c r="F127" s="2">
        <f>(C127+$K$65)*0.05</f>
        <v>1159.2990955593639</v>
      </c>
      <c r="I127" s="2">
        <f>(C127+$K$65+F127)*6%</f>
        <v>1460.7168604047984</v>
      </c>
      <c r="L127" s="31">
        <f>(C127+$K$65+F127+I127)*14.25%</f>
        <v>3677.3546960690801</v>
      </c>
      <c r="M127" s="9"/>
      <c r="N127" s="9"/>
    </row>
    <row r="128" spans="2:21" x14ac:dyDescent="0.25">
      <c r="B128" s="5">
        <v>50</v>
      </c>
      <c r="C128" s="2">
        <f t="shared" ref="C128:C139" si="0">$K$42*(B128*21)</f>
        <v>5061.296166230768</v>
      </c>
      <c r="F128" s="2">
        <f t="shared" ref="F128:F139" si="1">(C128+$K$65)*0.05</f>
        <v>1209.9120572216716</v>
      </c>
      <c r="I128" s="2">
        <f t="shared" ref="I128:I139" si="2">(C128+$K$65+F128)*6%</f>
        <v>1524.4891920993061</v>
      </c>
      <c r="L128" s="31">
        <f t="shared" ref="L128:L139" si="3">(C128+$K$65+F128+I128)*14.25%</f>
        <v>3837.9015411100031</v>
      </c>
      <c r="M128" s="9"/>
      <c r="N128" s="9"/>
    </row>
    <row r="129" spans="2:14" x14ac:dyDescent="0.25">
      <c r="B129" s="5">
        <v>60</v>
      </c>
      <c r="C129" s="2">
        <f t="shared" si="0"/>
        <v>6073.5553994769216</v>
      </c>
      <c r="F129" s="2">
        <f t="shared" si="1"/>
        <v>1260.5250188839793</v>
      </c>
      <c r="I129" s="2">
        <f t="shared" si="2"/>
        <v>1588.2615237938137</v>
      </c>
      <c r="L129" s="31">
        <f t="shared" si="3"/>
        <v>3998.4483861509261</v>
      </c>
      <c r="M129" s="9"/>
      <c r="N129" s="9"/>
    </row>
    <row r="130" spans="2:14" x14ac:dyDescent="0.25">
      <c r="B130" s="5">
        <v>70</v>
      </c>
      <c r="C130" s="2">
        <f t="shared" si="0"/>
        <v>7085.8146327230752</v>
      </c>
      <c r="F130" s="2">
        <f t="shared" si="1"/>
        <v>1311.1379805462871</v>
      </c>
      <c r="I130" s="2">
        <f t="shared" si="2"/>
        <v>1652.0338554883215</v>
      </c>
      <c r="L130" s="31">
        <f t="shared" si="3"/>
        <v>4158.9952311918487</v>
      </c>
      <c r="M130" s="9"/>
      <c r="N130" s="9"/>
    </row>
    <row r="131" spans="2:14" x14ac:dyDescent="0.25">
      <c r="B131" s="5">
        <v>80</v>
      </c>
      <c r="C131" s="2">
        <f t="shared" si="0"/>
        <v>8098.0738659692288</v>
      </c>
      <c r="F131" s="2">
        <f t="shared" si="1"/>
        <v>1361.7509422085948</v>
      </c>
      <c r="I131" s="2">
        <f t="shared" si="2"/>
        <v>1715.806187182829</v>
      </c>
      <c r="L131" s="31">
        <f t="shared" si="3"/>
        <v>4319.5420762327722</v>
      </c>
      <c r="M131" s="9"/>
      <c r="N131" s="9"/>
    </row>
    <row r="132" spans="2:14" x14ac:dyDescent="0.25">
      <c r="B132" s="5">
        <v>90</v>
      </c>
      <c r="C132" s="2">
        <f t="shared" si="0"/>
        <v>9110.3330992153824</v>
      </c>
      <c r="F132" s="2">
        <f t="shared" si="1"/>
        <v>1412.3639038709025</v>
      </c>
      <c r="I132" s="2">
        <f t="shared" si="2"/>
        <v>1779.578518877337</v>
      </c>
      <c r="L132" s="31">
        <f t="shared" si="3"/>
        <v>4480.0889212736956</v>
      </c>
      <c r="M132" s="9"/>
      <c r="N132" s="9"/>
    </row>
    <row r="133" spans="2:14" x14ac:dyDescent="0.25">
      <c r="B133" s="5">
        <v>100</v>
      </c>
      <c r="C133" s="2">
        <f t="shared" si="0"/>
        <v>10122.592332461536</v>
      </c>
      <c r="F133" s="2">
        <f t="shared" si="1"/>
        <v>1462.97686553321</v>
      </c>
      <c r="I133" s="2">
        <f t="shared" si="2"/>
        <v>1843.3508505718444</v>
      </c>
      <c r="L133" s="31">
        <f t="shared" si="3"/>
        <v>4640.6357663146182</v>
      </c>
      <c r="M133" s="9"/>
      <c r="N133" s="9"/>
    </row>
    <row r="134" spans="2:14" x14ac:dyDescent="0.25">
      <c r="B134" s="5">
        <v>110</v>
      </c>
      <c r="C134" s="2">
        <f t="shared" si="0"/>
        <v>11134.85156570769</v>
      </c>
      <c r="F134" s="2">
        <f t="shared" si="1"/>
        <v>1513.5898271955177</v>
      </c>
      <c r="I134" s="2">
        <f t="shared" si="2"/>
        <v>1907.1231822663524</v>
      </c>
      <c r="L134" s="31">
        <f t="shared" si="3"/>
        <v>4801.1826113555417</v>
      </c>
      <c r="M134" s="9"/>
      <c r="N134" s="9"/>
    </row>
    <row r="135" spans="2:14" x14ac:dyDescent="0.25">
      <c r="B135" s="5">
        <v>120</v>
      </c>
      <c r="C135" s="2">
        <f t="shared" si="0"/>
        <v>12147.110798953843</v>
      </c>
      <c r="F135" s="2">
        <f t="shared" si="1"/>
        <v>1564.2027888578255</v>
      </c>
      <c r="I135" s="2">
        <f t="shared" si="2"/>
        <v>1970.8955139608597</v>
      </c>
      <c r="L135" s="31">
        <f t="shared" si="3"/>
        <v>4961.7294563964642</v>
      </c>
      <c r="M135" s="9"/>
      <c r="N135" s="9"/>
    </row>
    <row r="136" spans="2:14" x14ac:dyDescent="0.25">
      <c r="B136" s="5">
        <v>130</v>
      </c>
      <c r="C136" s="2">
        <f t="shared" si="0"/>
        <v>13159.370032199997</v>
      </c>
      <c r="F136" s="2">
        <f t="shared" si="1"/>
        <v>1614.8157505201332</v>
      </c>
      <c r="I136" s="2">
        <f t="shared" si="2"/>
        <v>2034.6678456553677</v>
      </c>
      <c r="L136" s="31">
        <f t="shared" si="3"/>
        <v>5122.2763014373886</v>
      </c>
      <c r="M136" s="9"/>
      <c r="N136" s="9"/>
    </row>
    <row r="137" spans="2:14" x14ac:dyDescent="0.25">
      <c r="B137" s="5">
        <v>140</v>
      </c>
      <c r="C137" s="2">
        <f t="shared" si="0"/>
        <v>14171.62926544615</v>
      </c>
      <c r="F137" s="2">
        <f t="shared" si="1"/>
        <v>1665.4287121824409</v>
      </c>
      <c r="I137" s="2">
        <f t="shared" si="2"/>
        <v>2098.4401773498753</v>
      </c>
      <c r="L137" s="31">
        <f t="shared" si="3"/>
        <v>5282.8231464783103</v>
      </c>
      <c r="M137" s="9"/>
      <c r="N137" s="9"/>
    </row>
    <row r="138" spans="2:14" x14ac:dyDescent="0.25">
      <c r="B138" s="5">
        <v>150</v>
      </c>
      <c r="C138" s="2">
        <f t="shared" si="0"/>
        <v>15183.888498692304</v>
      </c>
      <c r="F138" s="2">
        <f t="shared" si="1"/>
        <v>1716.0416738447486</v>
      </c>
      <c r="I138" s="2">
        <f t="shared" si="2"/>
        <v>2162.2125090443828</v>
      </c>
      <c r="L138" s="31">
        <f t="shared" si="3"/>
        <v>5443.3699915192337</v>
      </c>
      <c r="M138" s="9"/>
      <c r="N138" s="9"/>
    </row>
    <row r="139" spans="2:14" x14ac:dyDescent="0.25">
      <c r="B139" s="5">
        <v>160</v>
      </c>
      <c r="C139" s="2">
        <f t="shared" si="0"/>
        <v>16196.147731938458</v>
      </c>
      <c r="F139" s="2">
        <f t="shared" si="1"/>
        <v>1766.6546355070561</v>
      </c>
      <c r="I139" s="2">
        <f t="shared" si="2"/>
        <v>2225.9848407388904</v>
      </c>
      <c r="L139" s="31">
        <f t="shared" si="3"/>
        <v>5603.9168365601563</v>
      </c>
      <c r="M139" s="9"/>
      <c r="N139" s="9"/>
    </row>
    <row r="140" spans="2:14" x14ac:dyDescent="0.25">
      <c r="B140" s="5"/>
    </row>
    <row r="143" spans="2:14" x14ac:dyDescent="0.25">
      <c r="B143" s="187" t="s">
        <v>178</v>
      </c>
      <c r="C143" s="187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</row>
    <row r="144" spans="2:14" x14ac:dyDescent="0.25">
      <c r="B144" s="187"/>
      <c r="C144" s="187"/>
    </row>
    <row r="145" spans="2:14" x14ac:dyDescent="0.25">
      <c r="B145" s="187"/>
      <c r="C145" s="187"/>
    </row>
    <row r="146" spans="2:14" x14ac:dyDescent="0.25">
      <c r="B146" s="187"/>
      <c r="C146" s="187"/>
    </row>
    <row r="147" spans="2:14" ht="24.75" x14ac:dyDescent="0.25">
      <c r="B147" s="94" t="s">
        <v>173</v>
      </c>
      <c r="C147" s="9" t="s">
        <v>174</v>
      </c>
      <c r="D147" s="9"/>
      <c r="E147" s="9"/>
      <c r="F147" s="9" t="s">
        <v>175</v>
      </c>
      <c r="G147" s="9"/>
      <c r="H147" s="9"/>
      <c r="I147" s="9" t="s">
        <v>176</v>
      </c>
      <c r="J147" s="9"/>
      <c r="K147" s="9"/>
      <c r="L147" s="9" t="s">
        <v>177</v>
      </c>
      <c r="M147" s="9"/>
      <c r="N147" s="9"/>
    </row>
    <row r="148" spans="2:14" x14ac:dyDescent="0.25">
      <c r="B148" s="5">
        <v>40</v>
      </c>
      <c r="C148" s="2">
        <f>($K$42*(B148*21))*1.154</f>
        <v>4672.5886206642444</v>
      </c>
      <c r="F148" s="2">
        <f>(C148+$K$65)*0.05</f>
        <v>1190.4766799433455</v>
      </c>
      <c r="I148" s="2">
        <f>(C148+$K$65+F148)*6%</f>
        <v>1500.0006167286153</v>
      </c>
      <c r="L148" s="31">
        <f>(C148+$K$65+F148+I148)*14.25%</f>
        <v>3776.2515526142888</v>
      </c>
      <c r="M148" s="9"/>
      <c r="N148" s="9"/>
    </row>
    <row r="149" spans="2:14" x14ac:dyDescent="0.25">
      <c r="B149" s="5">
        <v>50</v>
      </c>
      <c r="C149" s="2">
        <f t="shared" ref="C149:C160" si="4">($K$42*(B149*21))*1.154</f>
        <v>5840.735775830306</v>
      </c>
      <c r="F149" s="2">
        <f t="shared" ref="F149:F160" si="5">(C149+$K$65)*0.05</f>
        <v>1248.8840377016486</v>
      </c>
      <c r="I149" s="2">
        <f t="shared" ref="I149:I160" si="6">(C149+$K$65+F149)*6%</f>
        <v>1573.593887504077</v>
      </c>
      <c r="L149" s="31">
        <f t="shared" ref="L149:L160" si="7">(C149+$K$65+F149+I149)*14.25%</f>
        <v>3961.5226117915136</v>
      </c>
      <c r="M149" s="9"/>
      <c r="N149" s="9"/>
    </row>
    <row r="150" spans="2:14" x14ac:dyDescent="0.25">
      <c r="B150" s="5">
        <v>60</v>
      </c>
      <c r="C150" s="2">
        <f t="shared" si="4"/>
        <v>7008.8829309963667</v>
      </c>
      <c r="F150" s="2">
        <f t="shared" si="5"/>
        <v>1307.2913954599517</v>
      </c>
      <c r="I150" s="2">
        <f t="shared" si="6"/>
        <v>1647.1871582795388</v>
      </c>
      <c r="L150" s="31">
        <f t="shared" si="7"/>
        <v>4146.7936709687392</v>
      </c>
      <c r="M150" s="9"/>
      <c r="N150" s="9"/>
    </row>
    <row r="151" spans="2:14" x14ac:dyDescent="0.25">
      <c r="B151" s="5">
        <v>70</v>
      </c>
      <c r="C151" s="2">
        <f t="shared" si="4"/>
        <v>8177.0300861624282</v>
      </c>
      <c r="F151" s="2">
        <f t="shared" si="5"/>
        <v>1365.6987532182548</v>
      </c>
      <c r="I151" s="2">
        <f t="shared" si="6"/>
        <v>1720.7804290550007</v>
      </c>
      <c r="L151" s="31">
        <f t="shared" si="7"/>
        <v>4332.0647301459639</v>
      </c>
      <c r="M151" s="9"/>
      <c r="N151" s="9"/>
    </row>
    <row r="152" spans="2:14" x14ac:dyDescent="0.25">
      <c r="B152" s="5">
        <v>80</v>
      </c>
      <c r="C152" s="2">
        <f t="shared" si="4"/>
        <v>9345.1772413284889</v>
      </c>
      <c r="F152" s="2">
        <f t="shared" si="5"/>
        <v>1424.1061109765578</v>
      </c>
      <c r="I152" s="2">
        <f t="shared" si="6"/>
        <v>1794.3736998304626</v>
      </c>
      <c r="L152" s="31">
        <f t="shared" si="7"/>
        <v>4517.3357893231896</v>
      </c>
      <c r="M152" s="9"/>
      <c r="N152" s="9"/>
    </row>
    <row r="153" spans="2:14" x14ac:dyDescent="0.25">
      <c r="B153" s="5">
        <v>90</v>
      </c>
      <c r="C153" s="2">
        <f t="shared" si="4"/>
        <v>10513.32439649455</v>
      </c>
      <c r="F153" s="2">
        <f t="shared" si="5"/>
        <v>1482.5134687348609</v>
      </c>
      <c r="I153" s="2">
        <f t="shared" si="6"/>
        <v>1867.9669706059244</v>
      </c>
      <c r="L153" s="31">
        <f t="shared" si="7"/>
        <v>4702.6068485004143</v>
      </c>
      <c r="M153" s="9"/>
      <c r="N153" s="9"/>
    </row>
    <row r="154" spans="2:14" x14ac:dyDescent="0.25">
      <c r="B154" s="5">
        <v>100</v>
      </c>
      <c r="C154" s="2">
        <f t="shared" si="4"/>
        <v>11681.471551660612</v>
      </c>
      <c r="F154" s="2">
        <f t="shared" si="5"/>
        <v>1540.920826493164</v>
      </c>
      <c r="I154" s="2">
        <f t="shared" si="6"/>
        <v>1941.5602413813863</v>
      </c>
      <c r="L154" s="31">
        <f t="shared" si="7"/>
        <v>4887.8779076776391</v>
      </c>
      <c r="M154" s="9"/>
      <c r="N154" s="9"/>
    </row>
    <row r="155" spans="2:14" x14ac:dyDescent="0.25">
      <c r="B155" s="5">
        <v>110</v>
      </c>
      <c r="C155" s="2">
        <f t="shared" si="4"/>
        <v>12849.618706826674</v>
      </c>
      <c r="F155" s="2">
        <f t="shared" si="5"/>
        <v>1599.3281842514671</v>
      </c>
      <c r="I155" s="2">
        <f t="shared" si="6"/>
        <v>2015.1535121568484</v>
      </c>
      <c r="L155" s="31">
        <f t="shared" si="7"/>
        <v>5073.1489668548647</v>
      </c>
      <c r="M155" s="9"/>
      <c r="N155" s="9"/>
    </row>
    <row r="156" spans="2:14" x14ac:dyDescent="0.25">
      <c r="B156" s="5">
        <v>120</v>
      </c>
      <c r="C156" s="2">
        <f t="shared" si="4"/>
        <v>14017.765861992733</v>
      </c>
      <c r="F156" s="2">
        <f t="shared" si="5"/>
        <v>1657.7355420097699</v>
      </c>
      <c r="I156" s="2">
        <f t="shared" si="6"/>
        <v>2088.7467829323095</v>
      </c>
      <c r="L156" s="31">
        <f t="shared" si="7"/>
        <v>5258.4200260320886</v>
      </c>
      <c r="M156" s="9"/>
      <c r="N156" s="9"/>
    </row>
    <row r="157" spans="2:14" x14ac:dyDescent="0.25">
      <c r="B157" s="5">
        <v>130</v>
      </c>
      <c r="C157" s="2">
        <f t="shared" si="4"/>
        <v>15185.913017158795</v>
      </c>
      <c r="F157" s="2">
        <f t="shared" si="5"/>
        <v>1716.1428997680732</v>
      </c>
      <c r="I157" s="2">
        <f t="shared" si="6"/>
        <v>2162.3400537077719</v>
      </c>
      <c r="L157" s="31">
        <f t="shared" si="7"/>
        <v>5443.6910852093151</v>
      </c>
      <c r="M157" s="9"/>
      <c r="N157" s="9"/>
    </row>
    <row r="158" spans="2:14" x14ac:dyDescent="0.25">
      <c r="B158" s="5">
        <v>140</v>
      </c>
      <c r="C158" s="2">
        <f t="shared" si="4"/>
        <v>16354.060172324856</v>
      </c>
      <c r="F158" s="2">
        <f t="shared" si="5"/>
        <v>1774.5502575263761</v>
      </c>
      <c r="I158" s="2">
        <f t="shared" si="6"/>
        <v>2235.9333244832337</v>
      </c>
      <c r="L158" s="31">
        <f t="shared" si="7"/>
        <v>5628.9621443865399</v>
      </c>
      <c r="M158" s="9"/>
      <c r="N158" s="9"/>
    </row>
    <row r="159" spans="2:14" x14ac:dyDescent="0.25">
      <c r="B159" s="5">
        <v>150</v>
      </c>
      <c r="C159" s="2">
        <f t="shared" si="4"/>
        <v>17522.207327490916</v>
      </c>
      <c r="F159" s="2">
        <f t="shared" si="5"/>
        <v>1832.9576152846794</v>
      </c>
      <c r="I159" s="2">
        <f t="shared" si="6"/>
        <v>2309.5265952586956</v>
      </c>
      <c r="L159" s="31">
        <f t="shared" si="7"/>
        <v>5814.2332035637655</v>
      </c>
      <c r="M159" s="9"/>
      <c r="N159" s="9"/>
    </row>
    <row r="160" spans="2:14" x14ac:dyDescent="0.25">
      <c r="B160" s="5">
        <v>160</v>
      </c>
      <c r="C160" s="2">
        <f t="shared" si="4"/>
        <v>18690.354482656978</v>
      </c>
      <c r="F160" s="2">
        <f t="shared" si="5"/>
        <v>1891.3649730429822</v>
      </c>
      <c r="I160" s="2">
        <f t="shared" si="6"/>
        <v>2383.1198660341574</v>
      </c>
      <c r="L160" s="31">
        <f t="shared" si="7"/>
        <v>5999.5042627409903</v>
      </c>
      <c r="M160" s="9"/>
      <c r="N160" s="9"/>
    </row>
  </sheetData>
  <mergeCells count="121">
    <mergeCell ref="B116:D116"/>
    <mergeCell ref="F116:G116"/>
    <mergeCell ref="L116:N116"/>
    <mergeCell ref="P116:Q116"/>
    <mergeCell ref="B122:C125"/>
    <mergeCell ref="B143:C146"/>
    <mergeCell ref="B113:D113"/>
    <mergeCell ref="L113:N113"/>
    <mergeCell ref="B114:D114"/>
    <mergeCell ref="L114:N114"/>
    <mergeCell ref="B115:C115"/>
    <mergeCell ref="L115:M115"/>
    <mergeCell ref="L109:M109"/>
    <mergeCell ref="P109:Q109"/>
    <mergeCell ref="F110:G110"/>
    <mergeCell ref="P110:Q110"/>
    <mergeCell ref="B112:D112"/>
    <mergeCell ref="F112:G112"/>
    <mergeCell ref="L112:N112"/>
    <mergeCell ref="P112:Q112"/>
    <mergeCell ref="B101:D101"/>
    <mergeCell ref="B102:D102"/>
    <mergeCell ref="B103:C103"/>
    <mergeCell ref="B104:D104"/>
    <mergeCell ref="F104:G104"/>
    <mergeCell ref="B109:C109"/>
    <mergeCell ref="F109:G109"/>
    <mergeCell ref="D95:E95"/>
    <mergeCell ref="B97:C97"/>
    <mergeCell ref="F97:G97"/>
    <mergeCell ref="F98:G98"/>
    <mergeCell ref="B100:D100"/>
    <mergeCell ref="F100:G100"/>
    <mergeCell ref="A79:J79"/>
    <mergeCell ref="A82:I82"/>
    <mergeCell ref="A84:H84"/>
    <mergeCell ref="A85:J85"/>
    <mergeCell ref="A89:J89"/>
    <mergeCell ref="A90:J90"/>
    <mergeCell ref="A74:E74"/>
    <mergeCell ref="A75:F75"/>
    <mergeCell ref="I75:J75"/>
    <mergeCell ref="I76:J76"/>
    <mergeCell ref="I77:J77"/>
    <mergeCell ref="I78:J78"/>
    <mergeCell ref="A65:J65"/>
    <mergeCell ref="A67:I67"/>
    <mergeCell ref="A69:E69"/>
    <mergeCell ref="I69:J69"/>
    <mergeCell ref="C70:F70"/>
    <mergeCell ref="C71:F71"/>
    <mergeCell ref="C54:F54"/>
    <mergeCell ref="C55:F55"/>
    <mergeCell ref="C58:F58"/>
    <mergeCell ref="C60:G60"/>
    <mergeCell ref="C62:E62"/>
    <mergeCell ref="C63:F63"/>
    <mergeCell ref="A49:E49"/>
    <mergeCell ref="H50:I50"/>
    <mergeCell ref="C51:F51"/>
    <mergeCell ref="H51:I51"/>
    <mergeCell ref="C52:F52"/>
    <mergeCell ref="C53:F53"/>
    <mergeCell ref="B41:D41"/>
    <mergeCell ref="F41:H41"/>
    <mergeCell ref="A42:E42"/>
    <mergeCell ref="A43:J43"/>
    <mergeCell ref="A45:J45"/>
    <mergeCell ref="A47:J47"/>
    <mergeCell ref="A36:E36"/>
    <mergeCell ref="B37:D37"/>
    <mergeCell ref="E37:F37"/>
    <mergeCell ref="B38:D38"/>
    <mergeCell ref="B39:D39"/>
    <mergeCell ref="B40:D40"/>
    <mergeCell ref="A28:D28"/>
    <mergeCell ref="E28:F28"/>
    <mergeCell ref="A31:F31"/>
    <mergeCell ref="A32:D32"/>
    <mergeCell ref="E32:F32"/>
    <mergeCell ref="A33:D33"/>
    <mergeCell ref="A25:D25"/>
    <mergeCell ref="E25:F25"/>
    <mergeCell ref="A26:D26"/>
    <mergeCell ref="E26:F26"/>
    <mergeCell ref="A27:D27"/>
    <mergeCell ref="E27:F27"/>
    <mergeCell ref="K18:N18"/>
    <mergeCell ref="A19:F19"/>
    <mergeCell ref="A20:F20"/>
    <mergeCell ref="A23:F23"/>
    <mergeCell ref="A24:D24"/>
    <mergeCell ref="E24:F24"/>
    <mergeCell ref="A16:D16"/>
    <mergeCell ref="E16:F16"/>
    <mergeCell ref="K16:N17"/>
    <mergeCell ref="H20:N21"/>
    <mergeCell ref="O16:O17"/>
    <mergeCell ref="P16:P17"/>
    <mergeCell ref="T17:V17"/>
    <mergeCell ref="A14:D14"/>
    <mergeCell ref="E14:F14"/>
    <mergeCell ref="K14:N15"/>
    <mergeCell ref="O14:O15"/>
    <mergeCell ref="P14:P15"/>
    <mergeCell ref="E15:F15"/>
    <mergeCell ref="A11:F11"/>
    <mergeCell ref="K11:N11"/>
    <mergeCell ref="A12:C12"/>
    <mergeCell ref="E12:F12"/>
    <mergeCell ref="K12:N12"/>
    <mergeCell ref="A13:D13"/>
    <mergeCell ref="E13:F13"/>
    <mergeCell ref="K13:N13"/>
    <mergeCell ref="C2:F6"/>
    <mergeCell ref="H3:P5"/>
    <mergeCell ref="F7:H7"/>
    <mergeCell ref="K7:N7"/>
    <mergeCell ref="B8:C8"/>
    <mergeCell ref="I9:P9"/>
    <mergeCell ref="A9:F9"/>
  </mergeCells>
  <conditionalFormatting sqref="P19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{A1AD146A-5C35-441B-9A9F-4D4D80CFD5F5}</x14:id>
        </ext>
      </extLst>
    </cfRule>
  </conditionalFormatting>
  <dataValidations count="3">
    <dataValidation type="list" allowBlank="1" showInputMessage="1" showErrorMessage="1" sqref="E15:F15">
      <formula1>"0,1,2,3,4,5,6,7,8,9,10,11,12,13,14,15"</formula1>
    </dataValidation>
    <dataValidation type="list" allowBlank="1" showInputMessage="1" showErrorMessage="1" sqref="L51">
      <formula1>"LINEAR, MÉTODO COLE"</formula1>
    </dataValidation>
    <dataValidation type="list" allowBlank="1" showInputMessage="1" showErrorMessage="1" sqref="F7:H7 T17:V17">
      <formula1>$Q$119:$Q$122</formula1>
    </dataValidation>
  </dataValidations>
  <pageMargins left="0.51181102362204722" right="0.51181102362204722" top="0.78740157480314965" bottom="0.78740157480314965" header="0.31496062992125984" footer="0.31496062992125984"/>
  <pageSetup paperSize="9" scale="50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1AD146A-5C35-441B-9A9F-4D4D80CFD5F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P19</xm:sqref>
        </x14:conditionalFormatting>
      </x14:conditionalFormattings>
    </ext>
  </extLst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53">
    <tabColor rgb="FF00B0F0"/>
  </sheetPr>
  <dimension ref="A2:V160"/>
  <sheetViews>
    <sheetView tabSelected="1" view="pageBreakPreview" topLeftCell="A57" zoomScale="85" zoomScaleNormal="100" zoomScaleSheetLayoutView="85" workbookViewId="0">
      <selection activeCell="A57" sqref="A57"/>
    </sheetView>
  </sheetViews>
  <sheetFormatPr defaultColWidth="8.85546875" defaultRowHeight="15" x14ac:dyDescent="0.25"/>
  <cols>
    <col min="2" max="2" width="14.140625" customWidth="1"/>
    <col min="3" max="3" width="15.28515625" customWidth="1"/>
    <col min="5" max="5" width="12.42578125" customWidth="1"/>
    <col min="6" max="6" width="13.5703125" customWidth="1"/>
    <col min="7" max="7" width="12.140625" customWidth="1"/>
    <col min="9" max="9" width="10.7109375" customWidth="1"/>
    <col min="10" max="10" width="12.140625" bestFit="1" customWidth="1"/>
    <col min="11" max="11" width="16.42578125" bestFit="1" customWidth="1"/>
    <col min="12" max="12" width="14.42578125" customWidth="1"/>
    <col min="14" max="14" width="6.42578125" customWidth="1"/>
    <col min="15" max="15" width="9" customWidth="1"/>
    <col min="16" max="16" width="10.42578125" customWidth="1"/>
    <col min="17" max="17" width="15.140625" customWidth="1"/>
    <col min="18" max="18" width="14.7109375" bestFit="1" customWidth="1"/>
    <col min="19" max="19" width="19.42578125" bestFit="1" customWidth="1"/>
  </cols>
  <sheetData>
    <row r="2" spans="1:19" x14ac:dyDescent="0.25">
      <c r="C2" s="239" t="s">
        <v>151</v>
      </c>
      <c r="D2" s="240"/>
      <c r="E2" s="240"/>
      <c r="F2" s="240"/>
    </row>
    <row r="3" spans="1:19" x14ac:dyDescent="0.25">
      <c r="C3" s="240"/>
      <c r="D3" s="240"/>
      <c r="E3" s="240"/>
      <c r="F3" s="240"/>
      <c r="H3" s="241" t="s">
        <v>64</v>
      </c>
      <c r="I3" s="239"/>
      <c r="J3" s="239"/>
      <c r="K3" s="239"/>
      <c r="L3" s="239"/>
      <c r="M3" s="239"/>
      <c r="N3" s="239"/>
      <c r="O3" s="239"/>
      <c r="P3" s="239"/>
    </row>
    <row r="4" spans="1:19" x14ac:dyDescent="0.25">
      <c r="C4" s="240"/>
      <c r="D4" s="240"/>
      <c r="E4" s="240"/>
      <c r="F4" s="240"/>
      <c r="H4" s="239"/>
      <c r="I4" s="239"/>
      <c r="J4" s="239"/>
      <c r="K4" s="239"/>
      <c r="L4" s="239"/>
      <c r="M4" s="239"/>
      <c r="N4" s="239"/>
      <c r="O4" s="239"/>
      <c r="P4" s="239"/>
    </row>
    <row r="5" spans="1:19" x14ac:dyDescent="0.25">
      <c r="C5" s="240"/>
      <c r="D5" s="240"/>
      <c r="E5" s="240"/>
      <c r="F5" s="240"/>
      <c r="H5" s="239"/>
      <c r="I5" s="239"/>
      <c r="J5" s="239"/>
      <c r="K5" s="239"/>
      <c r="L5" s="239"/>
      <c r="M5" s="239"/>
      <c r="N5" s="239"/>
      <c r="O5" s="239"/>
      <c r="P5" s="239"/>
    </row>
    <row r="6" spans="1:19" x14ac:dyDescent="0.25">
      <c r="C6" s="240"/>
      <c r="D6" s="240"/>
      <c r="E6" s="240"/>
      <c r="F6" s="240"/>
    </row>
    <row r="7" spans="1:19" ht="21" x14ac:dyDescent="0.35">
      <c r="E7" s="18" t="s">
        <v>80</v>
      </c>
      <c r="F7" s="235" t="s">
        <v>65</v>
      </c>
      <c r="G7" s="235"/>
      <c r="H7" s="235"/>
      <c r="K7" s="242" t="s">
        <v>286</v>
      </c>
      <c r="L7" s="243"/>
      <c r="M7" s="243"/>
      <c r="N7" s="243"/>
    </row>
    <row r="8" spans="1:19" ht="15.75" x14ac:dyDescent="0.25">
      <c r="B8" s="194"/>
      <c r="C8" s="194"/>
      <c r="D8" s="8"/>
      <c r="E8" s="8"/>
      <c r="F8" s="8"/>
      <c r="J8" s="9"/>
    </row>
    <row r="9" spans="1:19" ht="21" x14ac:dyDescent="0.35">
      <c r="A9" s="235" t="s">
        <v>352</v>
      </c>
      <c r="B9" s="235"/>
      <c r="C9" s="235"/>
      <c r="D9" s="235"/>
      <c r="E9" s="235"/>
      <c r="F9" s="235"/>
      <c r="I9" s="244" t="s">
        <v>157</v>
      </c>
      <c r="J9" s="244"/>
      <c r="K9" s="244"/>
      <c r="L9" s="244"/>
      <c r="M9" s="244"/>
      <c r="N9" s="244"/>
      <c r="O9" s="244"/>
      <c r="P9" s="244"/>
      <c r="R9" s="9" t="s">
        <v>155</v>
      </c>
      <c r="S9" s="9" t="s">
        <v>156</v>
      </c>
    </row>
    <row r="10" spans="1:19" x14ac:dyDescent="0.25">
      <c r="R10" s="2">
        <f>K43</f>
        <v>1431.3345558100611</v>
      </c>
      <c r="S10" s="43">
        <f>K45</f>
        <v>3496.5458434788638</v>
      </c>
    </row>
    <row r="11" spans="1:19" ht="17.25" x14ac:dyDescent="0.3">
      <c r="A11" s="236" t="s">
        <v>150</v>
      </c>
      <c r="B11" s="237"/>
      <c r="C11" s="237"/>
      <c r="D11" s="237"/>
      <c r="E11" s="237"/>
      <c r="F11" s="238"/>
      <c r="G11" s="40" t="s">
        <v>0</v>
      </c>
      <c r="K11" s="206" t="s">
        <v>15</v>
      </c>
      <c r="L11" s="206"/>
      <c r="M11" s="206"/>
      <c r="N11" s="206"/>
      <c r="O11" s="161">
        <f>O12+O13</f>
        <v>44.14</v>
      </c>
      <c r="P11" s="47" t="s">
        <v>14</v>
      </c>
      <c r="R11" s="130">
        <f>K65/O18*O14</f>
        <v>6130.4123695465705</v>
      </c>
      <c r="S11" s="130">
        <f>K65/O18*O16</f>
        <v>13006.532608656091</v>
      </c>
    </row>
    <row r="12" spans="1:19" ht="15.75" x14ac:dyDescent="0.25">
      <c r="A12" s="214" t="s">
        <v>107</v>
      </c>
      <c r="B12" s="215"/>
      <c r="C12" s="215"/>
      <c r="D12" s="48"/>
      <c r="E12" s="218">
        <f>Insumos!$B$4</f>
        <v>531068.38</v>
      </c>
      <c r="F12" s="218"/>
      <c r="G12" s="1"/>
      <c r="K12" s="206" t="s">
        <v>136</v>
      </c>
      <c r="L12" s="206"/>
      <c r="M12" s="206"/>
      <c r="N12" s="206"/>
      <c r="O12" s="150">
        <v>14.14</v>
      </c>
      <c r="P12" s="47" t="s">
        <v>14</v>
      </c>
      <c r="R12" s="2">
        <f>K72/O18*O14</f>
        <v>521.62387741287353</v>
      </c>
      <c r="S12" s="2">
        <f>K72/O18*O16</f>
        <v>1106.6984669297174</v>
      </c>
    </row>
    <row r="13" spans="1:19" ht="15.75" x14ac:dyDescent="0.25">
      <c r="A13" s="214" t="s">
        <v>285</v>
      </c>
      <c r="B13" s="215"/>
      <c r="C13" s="215"/>
      <c r="D13" s="216"/>
      <c r="E13" s="198">
        <f>'DEPRECIAÇÃO LINEAR'!D15</f>
        <v>10</v>
      </c>
      <c r="F13" s="198"/>
      <c r="K13" s="206" t="s">
        <v>137</v>
      </c>
      <c r="L13" s="206"/>
      <c r="M13" s="206"/>
      <c r="N13" s="206"/>
      <c r="O13" s="150">
        <v>30</v>
      </c>
      <c r="P13" s="47" t="s">
        <v>14</v>
      </c>
      <c r="R13" s="2">
        <f>K79/O18*O14</f>
        <v>779.36688756535489</v>
      </c>
      <c r="S13" s="2">
        <f>K79/O18*O16</f>
        <v>1653.536536560159</v>
      </c>
    </row>
    <row r="14" spans="1:19" ht="15" customHeight="1" x14ac:dyDescent="0.25">
      <c r="A14" s="214" t="s">
        <v>23</v>
      </c>
      <c r="B14" s="215"/>
      <c r="C14" s="215"/>
      <c r="D14" s="216"/>
      <c r="E14" s="219">
        <v>2026</v>
      </c>
      <c r="F14" s="220"/>
      <c r="K14" s="223" t="s">
        <v>138</v>
      </c>
      <c r="L14" s="223"/>
      <c r="M14" s="223"/>
      <c r="N14" s="223"/>
      <c r="O14" s="232">
        <f>O12*21</f>
        <v>296.94</v>
      </c>
      <c r="P14" s="234" t="s">
        <v>14</v>
      </c>
      <c r="R14" s="2">
        <f>SUM(R10:R13)</f>
        <v>8862.7376903348595</v>
      </c>
      <c r="S14" s="2">
        <f>SUM(S10:S13)</f>
        <v>19263.31345562483</v>
      </c>
    </row>
    <row r="15" spans="1:19" ht="15.75" customHeight="1" x14ac:dyDescent="0.25">
      <c r="A15" s="49" t="s">
        <v>79</v>
      </c>
      <c r="B15" s="48"/>
      <c r="C15" s="48"/>
      <c r="D15" s="48"/>
      <c r="E15" s="198">
        <v>0</v>
      </c>
      <c r="F15" s="198"/>
      <c r="G15" s="41" t="s">
        <v>128</v>
      </c>
      <c r="I15" s="28"/>
      <c r="J15" s="28"/>
      <c r="K15" s="223"/>
      <c r="L15" s="223"/>
      <c r="M15" s="223"/>
      <c r="N15" s="223"/>
      <c r="O15" s="233"/>
      <c r="P15" s="234"/>
      <c r="R15" s="31">
        <f>IFERROR(R14/O14,0)</f>
        <v>29.846897320451472</v>
      </c>
      <c r="S15" s="31">
        <f>IFERROR(S14/O16,0)</f>
        <v>30.576688024801317</v>
      </c>
    </row>
    <row r="16" spans="1:19" ht="15" customHeight="1" x14ac:dyDescent="0.25">
      <c r="A16" s="214" t="s">
        <v>84</v>
      </c>
      <c r="B16" s="215"/>
      <c r="C16" s="215"/>
      <c r="D16" s="215"/>
      <c r="E16" s="198" t="str">
        <f>IF($F$7=$D$95,F104,IF($F$7=$D$107,F116,IF($F$7=$N$95,Q104,IF($F$7=$O$107,P116,""))))</f>
        <v>ATÉ 59 ALUNOS</v>
      </c>
      <c r="F16" s="198"/>
      <c r="I16" s="28"/>
      <c r="J16" s="28"/>
      <c r="K16" s="223" t="s">
        <v>139</v>
      </c>
      <c r="L16" s="223"/>
      <c r="M16" s="223"/>
      <c r="N16" s="223"/>
      <c r="O16" s="232">
        <f>O13*21</f>
        <v>630</v>
      </c>
      <c r="P16" s="234" t="s">
        <v>14</v>
      </c>
    </row>
    <row r="17" spans="1:22" ht="15" customHeight="1" x14ac:dyDescent="0.35">
      <c r="I17" s="28"/>
      <c r="J17" s="28"/>
      <c r="K17" s="223"/>
      <c r="L17" s="223"/>
      <c r="M17" s="223"/>
      <c r="N17" s="223"/>
      <c r="O17" s="233"/>
      <c r="P17" s="234"/>
      <c r="R17" s="2">
        <f>R14+S14</f>
        <v>28126.051145959689</v>
      </c>
      <c r="T17" s="235"/>
      <c r="U17" s="235"/>
      <c r="V17" s="235"/>
    </row>
    <row r="18" spans="1:22" ht="15" customHeight="1" x14ac:dyDescent="0.25">
      <c r="I18" s="28"/>
      <c r="J18" s="28"/>
      <c r="K18" s="223" t="s">
        <v>140</v>
      </c>
      <c r="L18" s="223"/>
      <c r="M18" s="223"/>
      <c r="N18" s="223"/>
      <c r="O18" s="46">
        <f>O16+O14</f>
        <v>926.94</v>
      </c>
      <c r="P18" s="47" t="s">
        <v>14</v>
      </c>
      <c r="R18" s="2">
        <f>R17/O18</f>
        <v>30.342903689515705</v>
      </c>
    </row>
    <row r="19" spans="1:22" ht="15.75" customHeight="1" thickBot="1" x14ac:dyDescent="0.35">
      <c r="A19" s="224" t="s">
        <v>1</v>
      </c>
      <c r="B19" s="225"/>
      <c r="C19" s="225"/>
      <c r="D19" s="225"/>
      <c r="E19" s="225"/>
      <c r="F19" s="225"/>
      <c r="I19" s="29"/>
      <c r="J19" s="29"/>
      <c r="K19" s="29"/>
      <c r="L19" s="29"/>
      <c r="M19" s="29"/>
    </row>
    <row r="20" spans="1:22" ht="15" customHeight="1" x14ac:dyDescent="0.25">
      <c r="A20" s="206" t="s">
        <v>106</v>
      </c>
      <c r="B20" s="206"/>
      <c r="C20" s="206"/>
      <c r="D20" s="206"/>
      <c r="E20" s="206"/>
      <c r="F20" s="206"/>
      <c r="H20" s="267" t="s">
        <v>308</v>
      </c>
      <c r="I20" s="268"/>
      <c r="J20" s="268"/>
      <c r="K20" s="268"/>
      <c r="L20" s="268"/>
      <c r="M20" s="268"/>
      <c r="N20" s="269"/>
      <c r="O20" s="93">
        <f>K90</f>
        <v>30.342903689515712</v>
      </c>
      <c r="R20" s="93">
        <f>K90</f>
        <v>30.342903689515712</v>
      </c>
    </row>
    <row r="21" spans="1:22" ht="15.75" thickBot="1" x14ac:dyDescent="0.3">
      <c r="H21" s="270"/>
      <c r="I21" s="271"/>
      <c r="J21" s="271"/>
      <c r="K21" s="271"/>
      <c r="L21" s="271"/>
      <c r="M21" s="271"/>
      <c r="N21" s="272"/>
      <c r="O21" s="2"/>
    </row>
    <row r="23" spans="1:22" ht="17.25" x14ac:dyDescent="0.3">
      <c r="A23" s="224" t="s">
        <v>2</v>
      </c>
      <c r="B23" s="225"/>
      <c r="C23" s="225"/>
      <c r="D23" s="225"/>
      <c r="E23" s="225"/>
      <c r="F23" s="225"/>
      <c r="L23" s="2"/>
    </row>
    <row r="24" spans="1:22" ht="15.75" x14ac:dyDescent="0.25">
      <c r="A24" s="214" t="s">
        <v>11</v>
      </c>
      <c r="B24" s="215"/>
      <c r="C24" s="215"/>
      <c r="D24" s="215"/>
      <c r="E24" s="198">
        <f>IF($F$7=$D$95,F100,IF($F$7=$D$107,F112,IF($F$7=$N$95,Q100,IF($F$7=$O$107,P112,""))))</f>
        <v>6</v>
      </c>
      <c r="F24" s="198"/>
    </row>
    <row r="25" spans="1:22" ht="15.75" x14ac:dyDescent="0.25">
      <c r="A25" s="214" t="s">
        <v>9</v>
      </c>
      <c r="B25" s="215"/>
      <c r="C25" s="215"/>
      <c r="D25" s="216"/>
      <c r="E25" s="218">
        <f>Insumos!$B$5</f>
        <v>2453.2399999999998</v>
      </c>
      <c r="F25" s="218"/>
    </row>
    <row r="26" spans="1:22" ht="15.75" x14ac:dyDescent="0.25">
      <c r="A26" s="214" t="s">
        <v>147</v>
      </c>
      <c r="B26" s="215"/>
      <c r="C26" s="215"/>
      <c r="D26" s="216"/>
      <c r="E26" s="219">
        <v>2</v>
      </c>
      <c r="F26" s="220"/>
    </row>
    <row r="27" spans="1:22" ht="15.75" x14ac:dyDescent="0.25">
      <c r="A27" s="214" t="s">
        <v>148</v>
      </c>
      <c r="B27" s="215"/>
      <c r="C27" s="215"/>
      <c r="D27" s="216"/>
      <c r="E27" s="221">
        <f>Insumos!$B$6</f>
        <v>975.83</v>
      </c>
      <c r="F27" s="222"/>
    </row>
    <row r="28" spans="1:22" ht="15.75" x14ac:dyDescent="0.25">
      <c r="A28" s="214" t="s">
        <v>149</v>
      </c>
      <c r="B28" s="215"/>
      <c r="C28" s="215"/>
      <c r="D28" s="216"/>
      <c r="E28" s="217">
        <v>100000</v>
      </c>
      <c r="F28" s="217"/>
    </row>
    <row r="31" spans="1:22" ht="15.75" x14ac:dyDescent="0.25">
      <c r="A31" s="191" t="s">
        <v>3</v>
      </c>
      <c r="B31" s="192"/>
      <c r="C31" s="192"/>
      <c r="D31" s="192"/>
      <c r="E31" s="192"/>
      <c r="F31" s="192"/>
    </row>
    <row r="32" spans="1:22" ht="15.75" x14ac:dyDescent="0.25">
      <c r="A32" s="214" t="s">
        <v>19</v>
      </c>
      <c r="B32" s="215"/>
      <c r="C32" s="215"/>
      <c r="D32" s="216"/>
      <c r="E32" s="218">
        <f>Insumos!$B$7</f>
        <v>7.6</v>
      </c>
      <c r="F32" s="218"/>
    </row>
    <row r="33" spans="1:14" ht="15.75" x14ac:dyDescent="0.25">
      <c r="A33" s="214" t="s">
        <v>17</v>
      </c>
      <c r="B33" s="215"/>
      <c r="C33" s="215"/>
      <c r="D33" s="216"/>
      <c r="E33" s="46">
        <f>IF($F$7=$D$95,G103,IF($F$7=$D$107,G115,IF($F$7=$N$95,Q103,IF($F$7=$O$107,Q115,""))))</f>
        <v>2.6</v>
      </c>
      <c r="F33" s="50" t="s">
        <v>18</v>
      </c>
    </row>
    <row r="36" spans="1:14" ht="17.25" x14ac:dyDescent="0.3">
      <c r="A36" s="208" t="s">
        <v>20</v>
      </c>
      <c r="B36" s="209"/>
      <c r="C36" s="209"/>
      <c r="D36" s="209"/>
      <c r="E36" s="209"/>
    </row>
    <row r="37" spans="1:14" x14ac:dyDescent="0.25">
      <c r="B37" s="210"/>
      <c r="C37" s="210"/>
      <c r="D37" s="211"/>
      <c r="E37" s="212" t="s">
        <v>4</v>
      </c>
      <c r="F37" s="213"/>
    </row>
    <row r="38" spans="1:14" ht="15.75" x14ac:dyDescent="0.25">
      <c r="A38" s="46" t="s">
        <v>346</v>
      </c>
      <c r="B38" s="214" t="s">
        <v>52</v>
      </c>
      <c r="C38" s="215"/>
      <c r="D38" s="216"/>
      <c r="E38" s="46">
        <f>1/E33</f>
        <v>0.38461538461538458</v>
      </c>
      <c r="F38" s="7" t="s">
        <v>5</v>
      </c>
      <c r="G38" s="7"/>
      <c r="H38" s="7"/>
      <c r="I38" s="7"/>
      <c r="J38" s="7"/>
      <c r="K38" s="58">
        <f>E32*E38</f>
        <v>2.9230769230769225</v>
      </c>
      <c r="L38" s="51" t="s">
        <v>13</v>
      </c>
      <c r="N38" s="2"/>
    </row>
    <row r="39" spans="1:14" ht="15.75" x14ac:dyDescent="0.25">
      <c r="A39" s="46" t="s">
        <v>6</v>
      </c>
      <c r="B39" s="206" t="s">
        <v>152</v>
      </c>
      <c r="C39" s="206"/>
      <c r="D39" s="206"/>
      <c r="E39" s="46">
        <v>0.04</v>
      </c>
      <c r="F39" s="7" t="s">
        <v>5</v>
      </c>
      <c r="G39" s="7"/>
      <c r="H39" s="7"/>
      <c r="I39" s="7"/>
      <c r="J39" s="7"/>
      <c r="K39" s="58">
        <f>E39*E32</f>
        <v>0.30399999999999999</v>
      </c>
      <c r="L39" s="51" t="s">
        <v>13</v>
      </c>
    </row>
    <row r="40" spans="1:14" ht="15.75" x14ac:dyDescent="0.25">
      <c r="A40" s="46" t="s">
        <v>7</v>
      </c>
      <c r="B40" s="206" t="s">
        <v>8</v>
      </c>
      <c r="C40" s="206"/>
      <c r="D40" s="206"/>
      <c r="E40" s="46"/>
      <c r="F40" s="7"/>
      <c r="G40" s="7"/>
      <c r="H40" s="7"/>
      <c r="I40" s="7"/>
      <c r="J40" s="7"/>
      <c r="K40" s="58">
        <f>((E25*E24)+(E26*E24*E27))/E28</f>
        <v>0.26429400000000003</v>
      </c>
      <c r="L40" s="51" t="s">
        <v>13</v>
      </c>
    </row>
    <row r="41" spans="1:14" ht="15.75" x14ac:dyDescent="0.25">
      <c r="A41" s="46" t="s">
        <v>12</v>
      </c>
      <c r="B41" s="206" t="s">
        <v>153</v>
      </c>
      <c r="C41" s="206"/>
      <c r="D41" s="206"/>
      <c r="E41" s="70">
        <v>3.0000000000000001E-6</v>
      </c>
      <c r="F41" s="193" t="s">
        <v>10</v>
      </c>
      <c r="G41" s="193"/>
      <c r="H41" s="193"/>
      <c r="I41" s="7"/>
      <c r="J41" s="7"/>
      <c r="K41" s="58">
        <f>(E41*E12)-(K40)</f>
        <v>1.32891114</v>
      </c>
      <c r="L41" s="51" t="s">
        <v>13</v>
      </c>
    </row>
    <row r="42" spans="1:14" ht="15.75" x14ac:dyDescent="0.25">
      <c r="A42" s="207"/>
      <c r="B42" s="207"/>
      <c r="C42" s="207"/>
      <c r="D42" s="207"/>
      <c r="E42" s="207"/>
      <c r="F42" s="7"/>
      <c r="G42" s="7"/>
      <c r="H42" s="7"/>
      <c r="I42" s="7"/>
      <c r="J42" s="7"/>
      <c r="K42" s="58">
        <f>SUM(K38:K41)</f>
        <v>4.8202820630769221</v>
      </c>
      <c r="L42" s="51" t="s">
        <v>13</v>
      </c>
    </row>
    <row r="43" spans="1:14" ht="21" customHeight="1" x14ac:dyDescent="0.25">
      <c r="A43" s="200" t="s">
        <v>144</v>
      </c>
      <c r="B43" s="200"/>
      <c r="C43" s="200"/>
      <c r="D43" s="200"/>
      <c r="E43" s="200"/>
      <c r="F43" s="200"/>
      <c r="G43" s="200"/>
      <c r="H43" s="200"/>
      <c r="I43" s="200"/>
      <c r="J43" s="200"/>
      <c r="K43" s="68">
        <f>K42*O14</f>
        <v>1431.3345558100611</v>
      </c>
      <c r="L43" s="52" t="s">
        <v>16</v>
      </c>
    </row>
    <row r="45" spans="1:14" ht="18.75" x14ac:dyDescent="0.3">
      <c r="A45" s="190" t="s">
        <v>145</v>
      </c>
      <c r="B45" s="190"/>
      <c r="C45" s="190"/>
      <c r="D45" s="190"/>
      <c r="E45" s="190"/>
      <c r="F45" s="190"/>
      <c r="G45" s="190"/>
      <c r="H45" s="190"/>
      <c r="I45" s="190"/>
      <c r="J45" s="190"/>
      <c r="K45" s="65">
        <f>K42*O16*1.1514</f>
        <v>3496.5458434788638</v>
      </c>
      <c r="L45" s="53" t="s">
        <v>16</v>
      </c>
    </row>
    <row r="46" spans="1:14" ht="15.75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</row>
    <row r="47" spans="1:14" ht="18.75" x14ac:dyDescent="0.3">
      <c r="A47" s="190" t="s">
        <v>146</v>
      </c>
      <c r="B47" s="190"/>
      <c r="C47" s="190"/>
      <c r="D47" s="190"/>
      <c r="E47" s="190"/>
      <c r="F47" s="190"/>
      <c r="G47" s="190"/>
      <c r="H47" s="190"/>
      <c r="I47" s="190"/>
      <c r="J47" s="190"/>
      <c r="K47" s="65">
        <f>K43+K45</f>
        <v>4927.8803992889252</v>
      </c>
      <c r="L47" s="54" t="s">
        <v>16</v>
      </c>
    </row>
    <row r="49" spans="1:12" ht="15.75" x14ac:dyDescent="0.25">
      <c r="A49" s="197" t="s">
        <v>21</v>
      </c>
      <c r="B49" s="204"/>
      <c r="C49" s="204"/>
      <c r="D49" s="204"/>
      <c r="E49" s="204"/>
      <c r="F49" s="7"/>
      <c r="G49" s="7"/>
      <c r="H49" s="7"/>
      <c r="I49" s="7"/>
      <c r="J49" s="7"/>
      <c r="K49" s="7"/>
      <c r="L49" s="7"/>
    </row>
    <row r="50" spans="1:12" ht="15.75" x14ac:dyDescent="0.25">
      <c r="A50" s="3"/>
      <c r="B50" s="45"/>
      <c r="C50" s="45"/>
      <c r="D50" s="45"/>
      <c r="E50" s="45"/>
      <c r="F50" s="7"/>
      <c r="G50" s="7"/>
      <c r="H50" s="205" t="s">
        <v>25</v>
      </c>
      <c r="I50" s="205"/>
      <c r="J50" s="7"/>
      <c r="K50" s="7"/>
      <c r="L50" s="7"/>
    </row>
    <row r="51" spans="1:12" ht="15.75" x14ac:dyDescent="0.25">
      <c r="A51" s="7" t="s">
        <v>22</v>
      </c>
      <c r="B51" s="7"/>
      <c r="C51" s="193" t="s">
        <v>24</v>
      </c>
      <c r="D51" s="193"/>
      <c r="E51" s="193"/>
      <c r="F51" s="193"/>
      <c r="G51" s="7"/>
      <c r="H51" s="195"/>
      <c r="I51" s="195"/>
      <c r="J51" s="58"/>
      <c r="K51" s="59">
        <f>IF(L51="LINEAR",'DEPRECIAÇÃO LINEAR'!H23,(VLOOKUP(E15,'DEPRECIAÇÃO LINEAR'!W12:AM25,17,0)))</f>
        <v>3983.0128500000005</v>
      </c>
      <c r="L51" s="55" t="s">
        <v>130</v>
      </c>
    </row>
    <row r="52" spans="1:12" ht="15.75" x14ac:dyDescent="0.25">
      <c r="A52" s="7" t="s">
        <v>26</v>
      </c>
      <c r="B52" s="7"/>
      <c r="C52" s="193" t="s">
        <v>27</v>
      </c>
      <c r="D52" s="193"/>
      <c r="E52" s="193"/>
      <c r="F52" s="193"/>
      <c r="G52" s="7"/>
      <c r="H52" s="7"/>
      <c r="I52" s="7"/>
      <c r="J52" s="58"/>
      <c r="K52" s="58"/>
      <c r="L52" s="7"/>
    </row>
    <row r="53" spans="1:12" ht="15.75" x14ac:dyDescent="0.25">
      <c r="A53" s="7"/>
      <c r="B53" s="7" t="s">
        <v>31</v>
      </c>
      <c r="C53" s="193" t="s">
        <v>28</v>
      </c>
      <c r="D53" s="193"/>
      <c r="E53" s="193"/>
      <c r="F53" s="193"/>
      <c r="G53" s="7"/>
      <c r="H53" s="7"/>
      <c r="I53" s="7"/>
      <c r="J53" s="58"/>
      <c r="K53" s="58">
        <f>'Motorista de Veiculo Pesado'!E90</f>
        <v>8468.4608078400015</v>
      </c>
      <c r="L53" s="7"/>
    </row>
    <row r="54" spans="1:12" ht="15.75" x14ac:dyDescent="0.25">
      <c r="A54" s="7"/>
      <c r="B54" s="7" t="s">
        <v>32</v>
      </c>
      <c r="C54" s="193" t="s">
        <v>29</v>
      </c>
      <c r="D54" s="193"/>
      <c r="E54" s="193"/>
      <c r="F54" s="193"/>
      <c r="G54" s="7"/>
      <c r="H54" s="7"/>
      <c r="I54" s="7"/>
      <c r="J54" s="58"/>
      <c r="K54" s="58">
        <f>'Monitor de Transporte Escolar'!E90</f>
        <v>4485.726463695999</v>
      </c>
      <c r="L54" s="7"/>
    </row>
    <row r="55" spans="1:12" ht="15.75" x14ac:dyDescent="0.25">
      <c r="A55" s="7" t="s">
        <v>30</v>
      </c>
      <c r="B55" s="7"/>
      <c r="C55" s="193" t="s">
        <v>34</v>
      </c>
      <c r="D55" s="193"/>
      <c r="E55" s="193"/>
      <c r="F55" s="193"/>
      <c r="G55" s="7"/>
      <c r="H55" s="7"/>
      <c r="I55" s="7"/>
      <c r="J55" s="58"/>
      <c r="K55" s="58"/>
      <c r="L55" s="56"/>
    </row>
    <row r="56" spans="1:12" ht="15.75" x14ac:dyDescent="0.25">
      <c r="A56" s="7"/>
      <c r="B56" s="7" t="s">
        <v>33</v>
      </c>
      <c r="C56" s="7" t="s">
        <v>35</v>
      </c>
      <c r="D56" s="7"/>
      <c r="E56" s="7"/>
      <c r="F56" s="7"/>
      <c r="G56" s="7"/>
      <c r="H56" s="7"/>
      <c r="I56" s="7"/>
      <c r="J56" s="58">
        <f>1/100*E12</f>
        <v>5310.6837999999998</v>
      </c>
      <c r="K56" s="58">
        <f>J56/12</f>
        <v>442.55698333333333</v>
      </c>
      <c r="L56" s="7"/>
    </row>
    <row r="57" spans="1:12" ht="15.75" x14ac:dyDescent="0.25">
      <c r="A57" s="7"/>
      <c r="B57" s="7" t="s">
        <v>36</v>
      </c>
      <c r="C57" s="7" t="s">
        <v>37</v>
      </c>
      <c r="D57" s="7"/>
      <c r="E57" s="7"/>
      <c r="F57" s="7"/>
      <c r="G57" s="7"/>
      <c r="H57" s="7"/>
      <c r="I57" s="7"/>
      <c r="J57" s="58">
        <v>230.25</v>
      </c>
      <c r="K57" s="58">
        <f>J57/12</f>
        <v>19.1875</v>
      </c>
      <c r="L57" s="7"/>
    </row>
    <row r="58" spans="1:12" ht="15.75" x14ac:dyDescent="0.25">
      <c r="A58" s="7"/>
      <c r="B58" s="7" t="s">
        <v>38</v>
      </c>
      <c r="C58" s="193" t="s">
        <v>39</v>
      </c>
      <c r="D58" s="193"/>
      <c r="E58" s="193"/>
      <c r="F58" s="193"/>
      <c r="G58" s="7"/>
      <c r="H58" s="7"/>
      <c r="I58" s="7"/>
      <c r="J58" s="58">
        <v>161.80000000000001</v>
      </c>
      <c r="K58" s="58">
        <f>J58/12</f>
        <v>13.483333333333334</v>
      </c>
      <c r="L58" s="7"/>
    </row>
    <row r="59" spans="1:12" ht="15.75" x14ac:dyDescent="0.25">
      <c r="A59" s="7" t="s">
        <v>41</v>
      </c>
      <c r="B59" s="7"/>
      <c r="C59" s="7" t="s">
        <v>40</v>
      </c>
      <c r="D59" s="7"/>
      <c r="E59" s="7"/>
      <c r="F59" s="7"/>
      <c r="G59" s="7"/>
      <c r="H59" s="7"/>
      <c r="I59" s="7"/>
      <c r="J59" s="58">
        <v>0</v>
      </c>
      <c r="K59" s="58">
        <f>J59/12</f>
        <v>0</v>
      </c>
      <c r="L59" s="7"/>
    </row>
    <row r="60" spans="1:12" ht="15.75" x14ac:dyDescent="0.25">
      <c r="A60" s="7" t="s">
        <v>57</v>
      </c>
      <c r="B60" s="7"/>
      <c r="C60" s="193" t="s">
        <v>58</v>
      </c>
      <c r="D60" s="193"/>
      <c r="E60" s="193"/>
      <c r="F60" s="193"/>
      <c r="G60" s="193"/>
      <c r="H60" s="7"/>
      <c r="I60" s="7"/>
      <c r="J60" s="58">
        <f>Insumos!$B$8</f>
        <v>350.88</v>
      </c>
      <c r="K60" s="58">
        <f>4*J60</f>
        <v>1403.52</v>
      </c>
      <c r="L60" s="7"/>
    </row>
    <row r="61" spans="1:12" ht="15.75" x14ac:dyDescent="0.25">
      <c r="A61" s="7" t="s">
        <v>60</v>
      </c>
      <c r="B61" s="7"/>
      <c r="C61" s="45" t="s">
        <v>63</v>
      </c>
      <c r="D61" s="45"/>
      <c r="E61" s="45"/>
      <c r="F61" s="45"/>
      <c r="G61" s="45"/>
      <c r="H61" s="7"/>
      <c r="I61" s="7"/>
      <c r="J61" s="58">
        <f>Insumos!$B$9</f>
        <v>2680.95</v>
      </c>
      <c r="K61" s="58">
        <f>J61/12</f>
        <v>223.41249999999999</v>
      </c>
      <c r="L61" s="7"/>
    </row>
    <row r="62" spans="1:12" ht="15.75" x14ac:dyDescent="0.25">
      <c r="A62" s="7" t="s">
        <v>61</v>
      </c>
      <c r="B62" s="7"/>
      <c r="C62" s="193" t="s">
        <v>62</v>
      </c>
      <c r="D62" s="193"/>
      <c r="E62" s="193"/>
      <c r="F62" s="45"/>
      <c r="G62" s="45"/>
      <c r="H62" s="7"/>
      <c r="I62" s="7"/>
      <c r="J62" s="60">
        <f>Insumos!$B$10</f>
        <v>932.23</v>
      </c>
      <c r="K62" s="58">
        <f>J62/12</f>
        <v>77.685833333333335</v>
      </c>
      <c r="L62" s="7"/>
    </row>
    <row r="63" spans="1:12" ht="15.75" x14ac:dyDescent="0.25">
      <c r="A63" s="7" t="s">
        <v>142</v>
      </c>
      <c r="B63" s="7"/>
      <c r="C63" s="203" t="s">
        <v>143</v>
      </c>
      <c r="D63" s="203"/>
      <c r="E63" s="203"/>
      <c r="F63" s="203"/>
      <c r="G63" s="164"/>
      <c r="H63" s="7"/>
      <c r="I63" s="7"/>
      <c r="J63" s="60">
        <f>Insumos!$B$11</f>
        <v>471.82</v>
      </c>
      <c r="K63" s="72">
        <f>J63/24</f>
        <v>19.659166666666668</v>
      </c>
      <c r="L63" s="7"/>
    </row>
    <row r="64" spans="1:12" ht="15.75" x14ac:dyDescent="0.25">
      <c r="A64" s="7" t="s">
        <v>340</v>
      </c>
      <c r="B64" s="7"/>
      <c r="C64" s="165" t="s">
        <v>343</v>
      </c>
      <c r="D64" s="165"/>
      <c r="E64" s="165"/>
      <c r="F64" s="165"/>
      <c r="G64" s="164"/>
      <c r="H64" s="7"/>
      <c r="I64" s="7"/>
      <c r="J64" s="60">
        <f>Insumos!$B$12</f>
        <v>14.372399999999997</v>
      </c>
      <c r="K64" s="72">
        <f>J64/60</f>
        <v>0.23953999999999995</v>
      </c>
      <c r="L64" s="7"/>
    </row>
    <row r="65" spans="1:13" ht="20.25" customHeight="1" x14ac:dyDescent="0.25">
      <c r="A65" s="259" t="s">
        <v>43</v>
      </c>
      <c r="B65" s="260"/>
      <c r="C65" s="260"/>
      <c r="D65" s="260"/>
      <c r="E65" s="260"/>
      <c r="F65" s="260"/>
      <c r="G65" s="260"/>
      <c r="H65" s="260"/>
      <c r="I65" s="260"/>
      <c r="J65" s="261"/>
      <c r="K65" s="67">
        <f>SUM(K51:K64)</f>
        <v>19136.944978202664</v>
      </c>
      <c r="L65" s="57" t="s">
        <v>16</v>
      </c>
      <c r="M65" s="4"/>
    </row>
    <row r="67" spans="1:13" ht="19.5" customHeight="1" x14ac:dyDescent="0.3">
      <c r="A67" s="262" t="s">
        <v>132</v>
      </c>
      <c r="B67" s="263"/>
      <c r="C67" s="263"/>
      <c r="D67" s="263"/>
      <c r="E67" s="263"/>
      <c r="F67" s="263"/>
      <c r="G67" s="263"/>
      <c r="H67" s="263"/>
      <c r="I67" s="264"/>
      <c r="K67" s="66">
        <f>K47+K65</f>
        <v>24064.82537749159</v>
      </c>
    </row>
    <row r="69" spans="1:13" ht="15.75" x14ac:dyDescent="0.25">
      <c r="A69" s="254" t="s">
        <v>133</v>
      </c>
      <c r="B69" s="255"/>
      <c r="C69" s="255"/>
      <c r="D69" s="255"/>
      <c r="E69" s="256"/>
      <c r="I69" s="265" t="s">
        <v>55</v>
      </c>
      <c r="J69" s="266"/>
    </row>
    <row r="70" spans="1:13" ht="15.75" x14ac:dyDescent="0.25">
      <c r="A70" s="7" t="s">
        <v>341</v>
      </c>
      <c r="B70" s="7"/>
      <c r="C70" s="193" t="s">
        <v>54</v>
      </c>
      <c r="D70" s="193"/>
      <c r="E70" s="193"/>
      <c r="F70" s="193"/>
      <c r="G70" s="7"/>
      <c r="H70" s="7"/>
      <c r="I70" s="168">
        <f>Insumos!$B$15</f>
        <v>2.6599999999999999E-2</v>
      </c>
      <c r="J70" s="7"/>
      <c r="K70" s="58">
        <f>I70*K67</f>
        <v>640.12435504127632</v>
      </c>
      <c r="L70" s="7"/>
    </row>
    <row r="71" spans="1:13" ht="15.75" x14ac:dyDescent="0.25">
      <c r="A71" s="7" t="s">
        <v>342</v>
      </c>
      <c r="B71" s="7"/>
      <c r="C71" s="193" t="s">
        <v>59</v>
      </c>
      <c r="D71" s="193"/>
      <c r="E71" s="193"/>
      <c r="F71" s="193"/>
      <c r="G71" s="7"/>
      <c r="H71" s="7"/>
      <c r="I71" s="169">
        <f>Insumos!$B$16</f>
        <v>0.04</v>
      </c>
      <c r="J71" s="7"/>
      <c r="K71" s="58">
        <f>I71*(K67+K70)</f>
        <v>988.19798930131469</v>
      </c>
      <c r="L71" s="7"/>
    </row>
    <row r="72" spans="1:13" ht="18.75" x14ac:dyDescent="0.3">
      <c r="A72" s="7"/>
      <c r="B72" s="7"/>
      <c r="C72" s="7"/>
      <c r="D72" s="7"/>
      <c r="E72" s="7"/>
      <c r="F72" s="7"/>
      <c r="G72" s="7"/>
      <c r="H72" s="7"/>
      <c r="I72" s="7"/>
      <c r="J72" s="61" t="s">
        <v>131</v>
      </c>
      <c r="K72" s="65">
        <f>SUM(K70:K71)</f>
        <v>1628.3223443425909</v>
      </c>
      <c r="L72" s="54" t="s">
        <v>16</v>
      </c>
    </row>
    <row r="74" spans="1:13" ht="15.75" x14ac:dyDescent="0.25">
      <c r="A74" s="254" t="s">
        <v>134</v>
      </c>
      <c r="B74" s="255"/>
      <c r="C74" s="255"/>
      <c r="D74" s="255"/>
      <c r="E74" s="256"/>
      <c r="F74" s="7"/>
      <c r="G74" s="7"/>
      <c r="H74" s="7"/>
      <c r="I74" s="7"/>
      <c r="J74" s="7"/>
      <c r="K74" s="7"/>
      <c r="L74" s="7"/>
    </row>
    <row r="75" spans="1:13" ht="15.75" x14ac:dyDescent="0.25">
      <c r="A75" s="193" t="s">
        <v>42</v>
      </c>
      <c r="B75" s="193"/>
      <c r="C75" s="193"/>
      <c r="D75" s="193"/>
      <c r="E75" s="193"/>
      <c r="F75" s="193"/>
      <c r="G75" s="7"/>
      <c r="H75" s="7"/>
      <c r="I75" s="219" t="s">
        <v>47</v>
      </c>
      <c r="J75" s="220"/>
      <c r="K75" s="51">
        <f>K67+K72</f>
        <v>25693.147721834182</v>
      </c>
      <c r="L75" s="7"/>
    </row>
    <row r="76" spans="1:13" ht="15.75" x14ac:dyDescent="0.25">
      <c r="A76" s="7" t="s">
        <v>53</v>
      </c>
      <c r="C76" s="7" t="s">
        <v>44</v>
      </c>
      <c r="D76" s="7"/>
      <c r="E76" s="7"/>
      <c r="F76" s="7"/>
      <c r="G76" s="7"/>
      <c r="H76" s="7"/>
      <c r="I76" s="257">
        <f>Insumos!$B$18</f>
        <v>0.05</v>
      </c>
      <c r="J76" s="258"/>
      <c r="K76" s="51">
        <f>$K$75/(1-(SUM($I$76:$J$78)))*I76</f>
        <v>1406.302557297985</v>
      </c>
      <c r="L76" s="7"/>
    </row>
    <row r="77" spans="1:13" ht="15.75" x14ac:dyDescent="0.25">
      <c r="A77" s="7" t="s">
        <v>344</v>
      </c>
      <c r="C77" s="7" t="s">
        <v>45</v>
      </c>
      <c r="D77" s="7"/>
      <c r="E77" s="7"/>
      <c r="F77" s="7"/>
      <c r="G77" s="7"/>
      <c r="H77" s="7"/>
      <c r="I77" s="257">
        <f>Insumos!$B$19</f>
        <v>6.4999999999999997E-3</v>
      </c>
      <c r="J77" s="258"/>
      <c r="K77" s="51">
        <f>$K$75/(1-(SUM($I$76:$J$78)))*I77</f>
        <v>182.81933244873801</v>
      </c>
      <c r="L77" s="7"/>
    </row>
    <row r="78" spans="1:13" ht="15.75" x14ac:dyDescent="0.25">
      <c r="A78" s="7" t="s">
        <v>345</v>
      </c>
      <c r="C78" s="7" t="s">
        <v>46</v>
      </c>
      <c r="D78" s="7"/>
      <c r="E78" s="7"/>
      <c r="F78" s="7"/>
      <c r="G78" s="7"/>
      <c r="H78" s="7"/>
      <c r="I78" s="257">
        <f>Insumos!$B$20</f>
        <v>0.03</v>
      </c>
      <c r="J78" s="258"/>
      <c r="K78" s="51">
        <f>$K$75/(1-(SUM($I$76:$J$78)))*I78</f>
        <v>843.78153437879087</v>
      </c>
      <c r="L78" s="7"/>
    </row>
    <row r="79" spans="1:13" ht="21" customHeight="1" x14ac:dyDescent="0.3">
      <c r="A79" s="251" t="s">
        <v>48</v>
      </c>
      <c r="B79" s="252"/>
      <c r="C79" s="252"/>
      <c r="D79" s="252"/>
      <c r="E79" s="252"/>
      <c r="F79" s="252"/>
      <c r="G79" s="252"/>
      <c r="H79" s="252"/>
      <c r="I79" s="252"/>
      <c r="J79" s="253"/>
      <c r="K79" s="64">
        <f>SUM(K76:K78)</f>
        <v>2432.903424125514</v>
      </c>
      <c r="L79" s="54" t="s">
        <v>16</v>
      </c>
    </row>
    <row r="81" spans="1:20" x14ac:dyDescent="0.25">
      <c r="C81" s="5"/>
      <c r="D81" s="5"/>
      <c r="E81" s="5"/>
      <c r="F81" s="5"/>
      <c r="K81" s="2"/>
    </row>
    <row r="82" spans="1:20" ht="15.75" x14ac:dyDescent="0.25">
      <c r="A82" s="191" t="s">
        <v>56</v>
      </c>
      <c r="B82" s="191"/>
      <c r="C82" s="191"/>
      <c r="D82" s="191"/>
      <c r="E82" s="191"/>
      <c r="F82" s="191"/>
      <c r="G82" s="191"/>
      <c r="H82" s="191"/>
      <c r="I82" s="191"/>
      <c r="T82" s="43"/>
    </row>
    <row r="83" spans="1:20" ht="15.75" x14ac:dyDescent="0.25">
      <c r="A83" s="6"/>
      <c r="B83" s="6"/>
      <c r="C83" s="6"/>
      <c r="D83" s="6"/>
      <c r="E83" s="6"/>
      <c r="F83" s="6"/>
      <c r="G83" s="6"/>
      <c r="H83" s="6"/>
      <c r="I83" s="6"/>
    </row>
    <row r="84" spans="1:20" ht="15.75" x14ac:dyDescent="0.25">
      <c r="A84" s="191" t="s">
        <v>51</v>
      </c>
      <c r="B84" s="192"/>
      <c r="C84" s="192"/>
      <c r="D84" s="192"/>
      <c r="E84" s="192"/>
      <c r="F84" s="192"/>
      <c r="G84" s="192"/>
      <c r="H84" s="192"/>
    </row>
    <row r="85" spans="1:20" ht="20.25" customHeight="1" x14ac:dyDescent="0.3">
      <c r="A85" s="193" t="s">
        <v>135</v>
      </c>
      <c r="B85" s="193"/>
      <c r="C85" s="193"/>
      <c r="D85" s="193"/>
      <c r="E85" s="193"/>
      <c r="F85" s="193"/>
      <c r="G85" s="193"/>
      <c r="H85" s="193"/>
      <c r="I85" s="193"/>
      <c r="J85" s="193"/>
      <c r="K85" s="62">
        <f>K67+K72+K79</f>
        <v>28126.051145959696</v>
      </c>
    </row>
    <row r="86" spans="1:20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2"/>
    </row>
    <row r="87" spans="1:20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2"/>
      <c r="P87" s="42"/>
    </row>
    <row r="88" spans="1:20" ht="8.25" customHeight="1" x14ac:dyDescent="0.25"/>
    <row r="89" spans="1:20" ht="16.5" customHeight="1" x14ac:dyDescent="0.25">
      <c r="A89" s="194" t="s">
        <v>49</v>
      </c>
      <c r="B89" s="195"/>
      <c r="C89" s="195"/>
      <c r="D89" s="195"/>
      <c r="E89" s="195"/>
      <c r="F89" s="195"/>
      <c r="G89" s="195"/>
      <c r="H89" s="195"/>
      <c r="I89" s="195"/>
      <c r="J89" s="195"/>
      <c r="K89" s="7"/>
      <c r="L89" s="7"/>
    </row>
    <row r="90" spans="1:20" ht="24.75" customHeight="1" x14ac:dyDescent="0.3">
      <c r="A90" s="196" t="s">
        <v>141</v>
      </c>
      <c r="B90" s="196"/>
      <c r="C90" s="196"/>
      <c r="D90" s="196"/>
      <c r="E90" s="196"/>
      <c r="F90" s="196"/>
      <c r="G90" s="196"/>
      <c r="H90" s="196"/>
      <c r="I90" s="196"/>
      <c r="J90" s="196"/>
      <c r="K90" s="71">
        <f>K85/O18</f>
        <v>30.342903689515712</v>
      </c>
      <c r="L90" s="63" t="s">
        <v>50</v>
      </c>
    </row>
    <row r="94" spans="1:20" s="10" customFormat="1" x14ac:dyDescent="0.25"/>
    <row r="95" spans="1:20" s="11" customFormat="1" ht="18.75" x14ac:dyDescent="0.3">
      <c r="B95" s="12" t="s">
        <v>69</v>
      </c>
      <c r="D95" s="188" t="s">
        <v>65</v>
      </c>
      <c r="E95" s="188"/>
      <c r="L95" s="12" t="s">
        <v>69</v>
      </c>
      <c r="M95" s="12"/>
      <c r="N95" s="12" t="s">
        <v>75</v>
      </c>
      <c r="O95" s="12"/>
    </row>
    <row r="96" spans="1:20" s="11" customFormat="1" x14ac:dyDescent="0.25"/>
    <row r="97" spans="2:18" s="11" customFormat="1" x14ac:dyDescent="0.25">
      <c r="B97" s="184" t="s">
        <v>66</v>
      </c>
      <c r="C97" s="184"/>
      <c r="D97" s="13"/>
      <c r="E97" s="13"/>
      <c r="F97" s="189">
        <v>288912</v>
      </c>
      <c r="G97" s="189"/>
      <c r="L97" s="13" t="s">
        <v>66</v>
      </c>
      <c r="M97" s="13"/>
      <c r="N97" s="13"/>
      <c r="O97" s="13"/>
      <c r="P97" s="13"/>
      <c r="Q97" s="30">
        <v>271500</v>
      </c>
    </row>
    <row r="98" spans="2:18" s="11" customFormat="1" x14ac:dyDescent="0.25">
      <c r="B98" s="13" t="s">
        <v>67</v>
      </c>
      <c r="D98" s="13"/>
      <c r="E98" s="13"/>
      <c r="F98" s="185">
        <v>10</v>
      </c>
      <c r="G98" s="185"/>
      <c r="H98" s="11" t="s">
        <v>154</v>
      </c>
      <c r="L98" s="13" t="s">
        <v>67</v>
      </c>
      <c r="M98" s="13"/>
      <c r="N98" s="13"/>
      <c r="O98" s="13"/>
      <c r="P98" s="13"/>
      <c r="Q98" s="13">
        <v>10</v>
      </c>
      <c r="R98" s="11" t="s">
        <v>154</v>
      </c>
    </row>
    <row r="99" spans="2:18" s="11" customFormat="1" x14ac:dyDescent="0.25">
      <c r="B99" s="13" t="s">
        <v>81</v>
      </c>
      <c r="D99" s="13"/>
      <c r="E99" s="13"/>
      <c r="F99" s="14"/>
      <c r="G99" s="14">
        <v>2018</v>
      </c>
      <c r="L99" s="13" t="s">
        <v>81</v>
      </c>
      <c r="N99" s="13"/>
      <c r="O99" s="13"/>
      <c r="P99" s="14"/>
      <c r="Q99" s="14">
        <v>2018</v>
      </c>
    </row>
    <row r="100" spans="2:18" s="11" customFormat="1" x14ac:dyDescent="0.25">
      <c r="B100" s="184" t="s">
        <v>68</v>
      </c>
      <c r="C100" s="184"/>
      <c r="D100" s="184"/>
      <c r="F100" s="185">
        <v>6</v>
      </c>
      <c r="G100" s="185"/>
      <c r="L100" s="13" t="s">
        <v>76</v>
      </c>
      <c r="M100" s="13"/>
      <c r="N100" s="13"/>
      <c r="O100" s="13"/>
      <c r="P100" s="13"/>
      <c r="Q100" s="13">
        <v>6</v>
      </c>
    </row>
    <row r="101" spans="2:18" s="11" customFormat="1" x14ac:dyDescent="0.25">
      <c r="B101" s="184" t="s">
        <v>71</v>
      </c>
      <c r="C101" s="184"/>
      <c r="D101" s="184"/>
      <c r="F101" s="14"/>
      <c r="G101" s="17">
        <v>100000</v>
      </c>
      <c r="L101" s="13" t="s">
        <v>71</v>
      </c>
      <c r="M101" s="13"/>
      <c r="N101" s="13"/>
      <c r="O101" s="13"/>
      <c r="P101" s="13"/>
      <c r="Q101" s="19">
        <v>100000</v>
      </c>
    </row>
    <row r="102" spans="2:18" s="11" customFormat="1" x14ac:dyDescent="0.25">
      <c r="B102" s="184" t="s">
        <v>72</v>
      </c>
      <c r="C102" s="184"/>
      <c r="D102" s="184"/>
      <c r="F102" s="14"/>
      <c r="G102" s="20">
        <v>1533.77</v>
      </c>
      <c r="L102" s="13" t="s">
        <v>72</v>
      </c>
      <c r="M102" s="13"/>
      <c r="N102" s="13"/>
      <c r="O102" s="13"/>
      <c r="P102" s="13"/>
      <c r="Q102" s="69">
        <v>860.69</v>
      </c>
    </row>
    <row r="103" spans="2:18" s="11" customFormat="1" x14ac:dyDescent="0.25">
      <c r="B103" s="184" t="s">
        <v>73</v>
      </c>
      <c r="C103" s="184"/>
      <c r="D103" s="15"/>
      <c r="F103" s="14"/>
      <c r="G103" s="14">
        <v>2.6</v>
      </c>
      <c r="H103" s="13" t="s">
        <v>74</v>
      </c>
      <c r="L103" s="13" t="s">
        <v>73</v>
      </c>
      <c r="M103" s="13"/>
      <c r="N103" s="13"/>
      <c r="O103" s="13"/>
      <c r="P103" s="13"/>
      <c r="Q103" s="13">
        <v>4.7</v>
      </c>
    </row>
    <row r="104" spans="2:18" s="11" customFormat="1" x14ac:dyDescent="0.25">
      <c r="B104" s="184" t="s">
        <v>70</v>
      </c>
      <c r="C104" s="184"/>
      <c r="D104" s="184"/>
      <c r="F104" s="185" t="s">
        <v>125</v>
      </c>
      <c r="G104" s="185"/>
      <c r="L104" s="13" t="s">
        <v>70</v>
      </c>
      <c r="M104" s="13"/>
      <c r="N104" s="13"/>
      <c r="O104" s="13"/>
      <c r="P104" s="13"/>
      <c r="Q104" s="13" t="s">
        <v>124</v>
      </c>
    </row>
    <row r="105" spans="2:18" s="11" customFormat="1" x14ac:dyDescent="0.25"/>
    <row r="106" spans="2:18" s="11" customFormat="1" x14ac:dyDescent="0.25"/>
    <row r="107" spans="2:18" s="11" customFormat="1" ht="18.75" x14ac:dyDescent="0.3">
      <c r="B107" s="12" t="s">
        <v>69</v>
      </c>
      <c r="C107" s="12"/>
      <c r="D107" s="12" t="s">
        <v>77</v>
      </c>
      <c r="E107" s="13"/>
      <c r="F107" s="13"/>
      <c r="G107" s="13"/>
      <c r="H107" s="13"/>
      <c r="L107" s="12" t="s">
        <v>69</v>
      </c>
      <c r="M107" s="16"/>
      <c r="N107" s="16"/>
      <c r="O107" s="12" t="s">
        <v>78</v>
      </c>
    </row>
    <row r="108" spans="2:18" s="11" customFormat="1" x14ac:dyDescent="0.25">
      <c r="B108" s="13"/>
      <c r="C108" s="13"/>
      <c r="D108" s="13"/>
      <c r="E108" s="13"/>
      <c r="F108" s="13"/>
      <c r="G108" s="13"/>
      <c r="H108" s="13"/>
    </row>
    <row r="109" spans="2:18" s="11" customFormat="1" x14ac:dyDescent="0.25">
      <c r="B109" s="184" t="s">
        <v>66</v>
      </c>
      <c r="C109" s="184"/>
      <c r="D109" s="13"/>
      <c r="E109" s="13"/>
      <c r="F109" s="185">
        <v>400</v>
      </c>
      <c r="G109" s="185"/>
      <c r="H109" s="13"/>
      <c r="L109" s="184" t="s">
        <v>66</v>
      </c>
      <c r="M109" s="184"/>
      <c r="N109" s="13"/>
      <c r="O109" s="13"/>
      <c r="P109" s="185" t="s">
        <v>78</v>
      </c>
      <c r="Q109" s="185"/>
      <c r="R109" s="13"/>
    </row>
    <row r="110" spans="2:18" s="11" customFormat="1" x14ac:dyDescent="0.25">
      <c r="B110" s="13" t="s">
        <v>67</v>
      </c>
      <c r="C110" s="13"/>
      <c r="D110" s="13"/>
      <c r="E110" s="13"/>
      <c r="F110" s="185">
        <v>10</v>
      </c>
      <c r="G110" s="185"/>
      <c r="H110" s="13" t="s">
        <v>154</v>
      </c>
      <c r="L110" s="13" t="s">
        <v>67</v>
      </c>
      <c r="M110" s="13"/>
      <c r="N110" s="13"/>
      <c r="O110" s="13"/>
      <c r="P110" s="185">
        <v>8</v>
      </c>
      <c r="Q110" s="185"/>
      <c r="R110" s="13" t="s">
        <v>154</v>
      </c>
    </row>
    <row r="111" spans="2:18" s="11" customFormat="1" x14ac:dyDescent="0.25">
      <c r="B111" s="13" t="s">
        <v>81</v>
      </c>
      <c r="D111" s="13"/>
      <c r="E111" s="13"/>
      <c r="F111" s="14"/>
      <c r="G111" s="14" t="s">
        <v>82</v>
      </c>
      <c r="L111" s="13" t="s">
        <v>81</v>
      </c>
      <c r="N111" s="13"/>
      <c r="O111" s="13"/>
      <c r="P111" s="14"/>
      <c r="Q111" s="14" t="s">
        <v>83</v>
      </c>
      <c r="R111" s="13"/>
    </row>
    <row r="112" spans="2:18" s="11" customFormat="1" x14ac:dyDescent="0.25">
      <c r="B112" s="184" t="s">
        <v>68</v>
      </c>
      <c r="C112" s="184"/>
      <c r="D112" s="184"/>
      <c r="E112" s="13"/>
      <c r="F112" s="185" t="s">
        <v>87</v>
      </c>
      <c r="G112" s="185"/>
      <c r="H112" s="13"/>
      <c r="L112" s="184" t="s">
        <v>68</v>
      </c>
      <c r="M112" s="184"/>
      <c r="N112" s="184"/>
      <c r="O112" s="13"/>
      <c r="P112" s="185" t="s">
        <v>88</v>
      </c>
      <c r="Q112" s="185"/>
      <c r="R112" s="13"/>
    </row>
    <row r="113" spans="2:21" s="11" customFormat="1" x14ac:dyDescent="0.25">
      <c r="B113" s="184" t="s">
        <v>71</v>
      </c>
      <c r="C113" s="184"/>
      <c r="D113" s="184"/>
      <c r="E113" s="13"/>
      <c r="F113" s="14"/>
      <c r="G113" s="14" t="s">
        <v>89</v>
      </c>
      <c r="H113" s="13"/>
      <c r="L113" s="184" t="s">
        <v>71</v>
      </c>
      <c r="M113" s="184"/>
      <c r="N113" s="184"/>
      <c r="O113" s="13"/>
      <c r="P113" s="14"/>
      <c r="Q113" s="14" t="s">
        <v>90</v>
      </c>
      <c r="R113" s="13"/>
    </row>
    <row r="114" spans="2:21" s="11" customFormat="1" x14ac:dyDescent="0.25">
      <c r="B114" s="184" t="s">
        <v>72</v>
      </c>
      <c r="C114" s="184"/>
      <c r="D114" s="184"/>
      <c r="E114" s="13"/>
      <c r="F114" s="14"/>
      <c r="G114" s="14">
        <v>400</v>
      </c>
      <c r="H114" s="13"/>
      <c r="L114" s="184" t="s">
        <v>72</v>
      </c>
      <c r="M114" s="184"/>
      <c r="N114" s="184"/>
      <c r="O114" s="13"/>
      <c r="P114" s="14"/>
      <c r="Q114" s="14">
        <v>4444</v>
      </c>
      <c r="R114" s="13"/>
    </row>
    <row r="115" spans="2:21" s="11" customFormat="1" x14ac:dyDescent="0.25">
      <c r="B115" s="184" t="s">
        <v>73</v>
      </c>
      <c r="C115" s="184"/>
      <c r="D115" s="15"/>
      <c r="E115" s="13"/>
      <c r="F115" s="14"/>
      <c r="G115" s="14">
        <v>2</v>
      </c>
      <c r="H115" s="13" t="s">
        <v>74</v>
      </c>
      <c r="L115" s="184" t="s">
        <v>73</v>
      </c>
      <c r="M115" s="184"/>
      <c r="N115" s="15"/>
      <c r="O115" s="13"/>
      <c r="P115" s="14"/>
      <c r="Q115" s="14">
        <v>4</v>
      </c>
      <c r="R115" s="13" t="s">
        <v>74</v>
      </c>
    </row>
    <row r="116" spans="2:21" s="11" customFormat="1" x14ac:dyDescent="0.25">
      <c r="B116" s="184" t="s">
        <v>70</v>
      </c>
      <c r="C116" s="184"/>
      <c r="D116" s="184"/>
      <c r="E116" s="13"/>
      <c r="F116" s="185" t="s">
        <v>85</v>
      </c>
      <c r="G116" s="185"/>
      <c r="H116" s="13"/>
      <c r="L116" s="184" t="s">
        <v>70</v>
      </c>
      <c r="M116" s="184"/>
      <c r="N116" s="184"/>
      <c r="O116" s="13"/>
      <c r="P116" s="185" t="s">
        <v>86</v>
      </c>
      <c r="Q116" s="185"/>
      <c r="R116" s="13"/>
    </row>
    <row r="117" spans="2:21" s="11" customFormat="1" x14ac:dyDescent="0.25"/>
    <row r="118" spans="2:21" s="11" customFormat="1" x14ac:dyDescent="0.25"/>
    <row r="119" spans="2:21" s="11" customFormat="1" ht="18.75" x14ac:dyDescent="0.3">
      <c r="Q119" s="12" t="s">
        <v>65</v>
      </c>
      <c r="R119" s="12"/>
      <c r="T119" s="13" t="s">
        <v>130</v>
      </c>
      <c r="U119" s="13"/>
    </row>
    <row r="120" spans="2:21" s="11" customFormat="1" ht="18.75" x14ac:dyDescent="0.3">
      <c r="Q120" s="12" t="s">
        <v>75</v>
      </c>
      <c r="T120" s="13" t="s">
        <v>129</v>
      </c>
      <c r="U120" s="13"/>
    </row>
    <row r="121" spans="2:21" s="11" customFormat="1" ht="18.75" x14ac:dyDescent="0.3">
      <c r="Q121" s="12" t="s">
        <v>77</v>
      </c>
    </row>
    <row r="122" spans="2:21" s="11" customFormat="1" ht="18" customHeight="1" x14ac:dyDescent="0.3">
      <c r="B122" s="186" t="s">
        <v>172</v>
      </c>
      <c r="C122" s="186"/>
      <c r="Q122" s="12" t="s">
        <v>78</v>
      </c>
    </row>
    <row r="123" spans="2:21" ht="0.75" hidden="1" customHeight="1" x14ac:dyDescent="0.25">
      <c r="B123" s="186"/>
      <c r="C123" s="186"/>
    </row>
    <row r="124" spans="2:21" hidden="1" x14ac:dyDescent="0.25">
      <c r="B124" s="186"/>
      <c r="C124" s="186"/>
    </row>
    <row r="125" spans="2:21" x14ac:dyDescent="0.25">
      <c r="B125" s="186"/>
      <c r="C125" s="186"/>
    </row>
    <row r="126" spans="2:21" ht="24.75" x14ac:dyDescent="0.25">
      <c r="B126" s="94" t="s">
        <v>173</v>
      </c>
      <c r="C126" s="9" t="s">
        <v>174</v>
      </c>
      <c r="D126" s="9"/>
      <c r="E126" s="9"/>
      <c r="F126" s="9" t="s">
        <v>175</v>
      </c>
      <c r="G126" s="9"/>
      <c r="H126" s="9"/>
      <c r="I126" s="9" t="s">
        <v>176</v>
      </c>
      <c r="J126" s="9"/>
      <c r="K126" s="9"/>
      <c r="L126" s="9" t="s">
        <v>177</v>
      </c>
      <c r="M126" s="9"/>
      <c r="N126" s="9"/>
    </row>
    <row r="127" spans="2:21" x14ac:dyDescent="0.25">
      <c r="B127" s="5">
        <v>40</v>
      </c>
      <c r="C127" s="2">
        <f>$K$42*(B127*21)</f>
        <v>4049.0369329846144</v>
      </c>
      <c r="F127" s="2">
        <f>(C127+$K$65)*0.05</f>
        <v>1159.2990955593639</v>
      </c>
      <c r="I127" s="2">
        <f>(C127+$K$65+F127)*6%</f>
        <v>1460.7168604047984</v>
      </c>
      <c r="L127" s="31">
        <f>(C127+$K$65+F127+I127)*14.25%</f>
        <v>3677.3546960690801</v>
      </c>
      <c r="M127" s="9"/>
      <c r="N127" s="9"/>
    </row>
    <row r="128" spans="2:21" x14ac:dyDescent="0.25">
      <c r="B128" s="5">
        <v>50</v>
      </c>
      <c r="C128" s="2">
        <f t="shared" ref="C128:C139" si="0">$K$42*(B128*21)</f>
        <v>5061.296166230768</v>
      </c>
      <c r="F128" s="2">
        <f t="shared" ref="F128:F139" si="1">(C128+$K$65)*0.05</f>
        <v>1209.9120572216716</v>
      </c>
      <c r="I128" s="2">
        <f t="shared" ref="I128:I139" si="2">(C128+$K$65+F128)*6%</f>
        <v>1524.4891920993061</v>
      </c>
      <c r="L128" s="31">
        <f t="shared" ref="L128:L139" si="3">(C128+$K$65+F128+I128)*14.25%</f>
        <v>3837.9015411100031</v>
      </c>
      <c r="M128" s="9"/>
      <c r="N128" s="9"/>
    </row>
    <row r="129" spans="2:14" x14ac:dyDescent="0.25">
      <c r="B129" s="5">
        <v>60</v>
      </c>
      <c r="C129" s="2">
        <f t="shared" si="0"/>
        <v>6073.5553994769216</v>
      </c>
      <c r="F129" s="2">
        <f t="shared" si="1"/>
        <v>1260.5250188839793</v>
      </c>
      <c r="I129" s="2">
        <f t="shared" si="2"/>
        <v>1588.2615237938137</v>
      </c>
      <c r="L129" s="31">
        <f t="shared" si="3"/>
        <v>3998.4483861509261</v>
      </c>
      <c r="M129" s="9"/>
      <c r="N129" s="9"/>
    </row>
    <row r="130" spans="2:14" x14ac:dyDescent="0.25">
      <c r="B130" s="5">
        <v>70</v>
      </c>
      <c r="C130" s="2">
        <f t="shared" si="0"/>
        <v>7085.8146327230752</v>
      </c>
      <c r="F130" s="2">
        <f t="shared" si="1"/>
        <v>1311.1379805462871</v>
      </c>
      <c r="I130" s="2">
        <f t="shared" si="2"/>
        <v>1652.0338554883215</v>
      </c>
      <c r="L130" s="31">
        <f t="shared" si="3"/>
        <v>4158.9952311918487</v>
      </c>
      <c r="M130" s="9"/>
      <c r="N130" s="9"/>
    </row>
    <row r="131" spans="2:14" x14ac:dyDescent="0.25">
      <c r="B131" s="5">
        <v>80</v>
      </c>
      <c r="C131" s="2">
        <f t="shared" si="0"/>
        <v>8098.0738659692288</v>
      </c>
      <c r="F131" s="2">
        <f t="shared" si="1"/>
        <v>1361.7509422085948</v>
      </c>
      <c r="I131" s="2">
        <f t="shared" si="2"/>
        <v>1715.806187182829</v>
      </c>
      <c r="L131" s="31">
        <f t="shared" si="3"/>
        <v>4319.5420762327722</v>
      </c>
      <c r="M131" s="9"/>
      <c r="N131" s="9"/>
    </row>
    <row r="132" spans="2:14" x14ac:dyDescent="0.25">
      <c r="B132" s="5">
        <v>90</v>
      </c>
      <c r="C132" s="2">
        <f t="shared" si="0"/>
        <v>9110.3330992153824</v>
      </c>
      <c r="F132" s="2">
        <f t="shared" si="1"/>
        <v>1412.3639038709025</v>
      </c>
      <c r="I132" s="2">
        <f t="shared" si="2"/>
        <v>1779.578518877337</v>
      </c>
      <c r="L132" s="31">
        <f t="shared" si="3"/>
        <v>4480.0889212736956</v>
      </c>
      <c r="M132" s="9"/>
      <c r="N132" s="9"/>
    </row>
    <row r="133" spans="2:14" x14ac:dyDescent="0.25">
      <c r="B133" s="5">
        <v>100</v>
      </c>
      <c r="C133" s="2">
        <f t="shared" si="0"/>
        <v>10122.592332461536</v>
      </c>
      <c r="F133" s="2">
        <f t="shared" si="1"/>
        <v>1462.97686553321</v>
      </c>
      <c r="I133" s="2">
        <f t="shared" si="2"/>
        <v>1843.3508505718444</v>
      </c>
      <c r="L133" s="31">
        <f t="shared" si="3"/>
        <v>4640.6357663146182</v>
      </c>
      <c r="M133" s="9"/>
      <c r="N133" s="9"/>
    </row>
    <row r="134" spans="2:14" x14ac:dyDescent="0.25">
      <c r="B134" s="5">
        <v>110</v>
      </c>
      <c r="C134" s="2">
        <f t="shared" si="0"/>
        <v>11134.85156570769</v>
      </c>
      <c r="F134" s="2">
        <f t="shared" si="1"/>
        <v>1513.5898271955177</v>
      </c>
      <c r="I134" s="2">
        <f t="shared" si="2"/>
        <v>1907.1231822663524</v>
      </c>
      <c r="L134" s="31">
        <f t="shared" si="3"/>
        <v>4801.1826113555417</v>
      </c>
      <c r="M134" s="9"/>
      <c r="N134" s="9"/>
    </row>
    <row r="135" spans="2:14" x14ac:dyDescent="0.25">
      <c r="B135" s="5">
        <v>120</v>
      </c>
      <c r="C135" s="2">
        <f t="shared" si="0"/>
        <v>12147.110798953843</v>
      </c>
      <c r="F135" s="2">
        <f t="shared" si="1"/>
        <v>1564.2027888578255</v>
      </c>
      <c r="I135" s="2">
        <f t="shared" si="2"/>
        <v>1970.8955139608597</v>
      </c>
      <c r="L135" s="31">
        <f t="shared" si="3"/>
        <v>4961.7294563964642</v>
      </c>
      <c r="M135" s="9"/>
      <c r="N135" s="9"/>
    </row>
    <row r="136" spans="2:14" x14ac:dyDescent="0.25">
      <c r="B136" s="5">
        <v>130</v>
      </c>
      <c r="C136" s="2">
        <f t="shared" si="0"/>
        <v>13159.370032199997</v>
      </c>
      <c r="F136" s="2">
        <f t="shared" si="1"/>
        <v>1614.8157505201332</v>
      </c>
      <c r="I136" s="2">
        <f t="shared" si="2"/>
        <v>2034.6678456553677</v>
      </c>
      <c r="L136" s="31">
        <f t="shared" si="3"/>
        <v>5122.2763014373886</v>
      </c>
      <c r="M136" s="9"/>
      <c r="N136" s="9"/>
    </row>
    <row r="137" spans="2:14" x14ac:dyDescent="0.25">
      <c r="B137" s="5">
        <v>140</v>
      </c>
      <c r="C137" s="2">
        <f t="shared" si="0"/>
        <v>14171.62926544615</v>
      </c>
      <c r="F137" s="2">
        <f t="shared" si="1"/>
        <v>1665.4287121824409</v>
      </c>
      <c r="I137" s="2">
        <f t="shared" si="2"/>
        <v>2098.4401773498753</v>
      </c>
      <c r="L137" s="31">
        <f t="shared" si="3"/>
        <v>5282.8231464783103</v>
      </c>
      <c r="M137" s="9"/>
      <c r="N137" s="9"/>
    </row>
    <row r="138" spans="2:14" x14ac:dyDescent="0.25">
      <c r="B138" s="5">
        <v>150</v>
      </c>
      <c r="C138" s="2">
        <f t="shared" si="0"/>
        <v>15183.888498692304</v>
      </c>
      <c r="F138" s="2">
        <f t="shared" si="1"/>
        <v>1716.0416738447486</v>
      </c>
      <c r="I138" s="2">
        <f t="shared" si="2"/>
        <v>2162.2125090443828</v>
      </c>
      <c r="L138" s="31">
        <f t="shared" si="3"/>
        <v>5443.3699915192337</v>
      </c>
      <c r="M138" s="9"/>
      <c r="N138" s="9"/>
    </row>
    <row r="139" spans="2:14" x14ac:dyDescent="0.25">
      <c r="B139" s="5">
        <v>160</v>
      </c>
      <c r="C139" s="2">
        <f t="shared" si="0"/>
        <v>16196.147731938458</v>
      </c>
      <c r="F139" s="2">
        <f t="shared" si="1"/>
        <v>1766.6546355070561</v>
      </c>
      <c r="I139" s="2">
        <f t="shared" si="2"/>
        <v>2225.9848407388904</v>
      </c>
      <c r="L139" s="31">
        <f t="shared" si="3"/>
        <v>5603.9168365601563</v>
      </c>
      <c r="M139" s="9"/>
      <c r="N139" s="9"/>
    </row>
    <row r="140" spans="2:14" x14ac:dyDescent="0.25">
      <c r="B140" s="5"/>
    </row>
    <row r="143" spans="2:14" x14ac:dyDescent="0.25">
      <c r="B143" s="187" t="s">
        <v>178</v>
      </c>
      <c r="C143" s="187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</row>
    <row r="144" spans="2:14" x14ac:dyDescent="0.25">
      <c r="B144" s="187"/>
      <c r="C144" s="187"/>
    </row>
    <row r="145" spans="2:14" x14ac:dyDescent="0.25">
      <c r="B145" s="187"/>
      <c r="C145" s="187"/>
    </row>
    <row r="146" spans="2:14" x14ac:dyDescent="0.25">
      <c r="B146" s="187"/>
      <c r="C146" s="187"/>
    </row>
    <row r="147" spans="2:14" ht="24.75" x14ac:dyDescent="0.25">
      <c r="B147" s="94" t="s">
        <v>173</v>
      </c>
      <c r="C147" s="9" t="s">
        <v>174</v>
      </c>
      <c r="D147" s="9"/>
      <c r="E147" s="9"/>
      <c r="F147" s="9" t="s">
        <v>175</v>
      </c>
      <c r="G147" s="9"/>
      <c r="H147" s="9"/>
      <c r="I147" s="9" t="s">
        <v>176</v>
      </c>
      <c r="J147" s="9"/>
      <c r="K147" s="9"/>
      <c r="L147" s="9" t="s">
        <v>177</v>
      </c>
      <c r="M147" s="9"/>
      <c r="N147" s="9"/>
    </row>
    <row r="148" spans="2:14" x14ac:dyDescent="0.25">
      <c r="B148" s="5">
        <v>40</v>
      </c>
      <c r="C148" s="2">
        <f>($K$42*(B148*21))*1.154</f>
        <v>4672.5886206642444</v>
      </c>
      <c r="F148" s="2">
        <f>(C148+$K$65)*0.05</f>
        <v>1190.4766799433455</v>
      </c>
      <c r="I148" s="2">
        <f>(C148+$K$65+F148)*6%</f>
        <v>1500.0006167286153</v>
      </c>
      <c r="L148" s="31">
        <f>(C148+$K$65+F148+I148)*14.25%</f>
        <v>3776.2515526142888</v>
      </c>
      <c r="M148" s="9"/>
      <c r="N148" s="9"/>
    </row>
    <row r="149" spans="2:14" x14ac:dyDescent="0.25">
      <c r="B149" s="5">
        <v>50</v>
      </c>
      <c r="C149" s="2">
        <f t="shared" ref="C149:C160" si="4">($K$42*(B149*21))*1.154</f>
        <v>5840.735775830306</v>
      </c>
      <c r="F149" s="2">
        <f t="shared" ref="F149:F160" si="5">(C149+$K$65)*0.05</f>
        <v>1248.8840377016486</v>
      </c>
      <c r="I149" s="2">
        <f t="shared" ref="I149:I160" si="6">(C149+$K$65+F149)*6%</f>
        <v>1573.593887504077</v>
      </c>
      <c r="L149" s="31">
        <f t="shared" ref="L149:L160" si="7">(C149+$K$65+F149+I149)*14.25%</f>
        <v>3961.5226117915136</v>
      </c>
      <c r="M149" s="9"/>
      <c r="N149" s="9"/>
    </row>
    <row r="150" spans="2:14" x14ac:dyDescent="0.25">
      <c r="B150" s="5">
        <v>60</v>
      </c>
      <c r="C150" s="2">
        <f t="shared" si="4"/>
        <v>7008.8829309963667</v>
      </c>
      <c r="F150" s="2">
        <f t="shared" si="5"/>
        <v>1307.2913954599517</v>
      </c>
      <c r="I150" s="2">
        <f t="shared" si="6"/>
        <v>1647.1871582795388</v>
      </c>
      <c r="L150" s="31">
        <f t="shared" si="7"/>
        <v>4146.7936709687392</v>
      </c>
      <c r="M150" s="9"/>
      <c r="N150" s="9"/>
    </row>
    <row r="151" spans="2:14" x14ac:dyDescent="0.25">
      <c r="B151" s="5">
        <v>70</v>
      </c>
      <c r="C151" s="2">
        <f t="shared" si="4"/>
        <v>8177.0300861624282</v>
      </c>
      <c r="F151" s="2">
        <f t="shared" si="5"/>
        <v>1365.6987532182548</v>
      </c>
      <c r="I151" s="2">
        <f t="shared" si="6"/>
        <v>1720.7804290550007</v>
      </c>
      <c r="L151" s="31">
        <f t="shared" si="7"/>
        <v>4332.0647301459639</v>
      </c>
      <c r="M151" s="9"/>
      <c r="N151" s="9"/>
    </row>
    <row r="152" spans="2:14" x14ac:dyDescent="0.25">
      <c r="B152" s="5">
        <v>80</v>
      </c>
      <c r="C152" s="2">
        <f t="shared" si="4"/>
        <v>9345.1772413284889</v>
      </c>
      <c r="F152" s="2">
        <f t="shared" si="5"/>
        <v>1424.1061109765578</v>
      </c>
      <c r="I152" s="2">
        <f t="shared" si="6"/>
        <v>1794.3736998304626</v>
      </c>
      <c r="L152" s="31">
        <f t="shared" si="7"/>
        <v>4517.3357893231896</v>
      </c>
      <c r="M152" s="9"/>
      <c r="N152" s="9"/>
    </row>
    <row r="153" spans="2:14" x14ac:dyDescent="0.25">
      <c r="B153" s="5">
        <v>90</v>
      </c>
      <c r="C153" s="2">
        <f t="shared" si="4"/>
        <v>10513.32439649455</v>
      </c>
      <c r="F153" s="2">
        <f t="shared" si="5"/>
        <v>1482.5134687348609</v>
      </c>
      <c r="I153" s="2">
        <f t="shared" si="6"/>
        <v>1867.9669706059244</v>
      </c>
      <c r="L153" s="31">
        <f t="shared" si="7"/>
        <v>4702.6068485004143</v>
      </c>
      <c r="M153" s="9"/>
      <c r="N153" s="9"/>
    </row>
    <row r="154" spans="2:14" x14ac:dyDescent="0.25">
      <c r="B154" s="5">
        <v>100</v>
      </c>
      <c r="C154" s="2">
        <f t="shared" si="4"/>
        <v>11681.471551660612</v>
      </c>
      <c r="F154" s="2">
        <f t="shared" si="5"/>
        <v>1540.920826493164</v>
      </c>
      <c r="I154" s="2">
        <f t="shared" si="6"/>
        <v>1941.5602413813863</v>
      </c>
      <c r="L154" s="31">
        <f t="shared" si="7"/>
        <v>4887.8779076776391</v>
      </c>
      <c r="M154" s="9"/>
      <c r="N154" s="9"/>
    </row>
    <row r="155" spans="2:14" x14ac:dyDescent="0.25">
      <c r="B155" s="5">
        <v>110</v>
      </c>
      <c r="C155" s="2">
        <f t="shared" si="4"/>
        <v>12849.618706826674</v>
      </c>
      <c r="F155" s="2">
        <f t="shared" si="5"/>
        <v>1599.3281842514671</v>
      </c>
      <c r="I155" s="2">
        <f t="shared" si="6"/>
        <v>2015.1535121568484</v>
      </c>
      <c r="L155" s="31">
        <f t="shared" si="7"/>
        <v>5073.1489668548647</v>
      </c>
      <c r="M155" s="9"/>
      <c r="N155" s="9"/>
    </row>
    <row r="156" spans="2:14" x14ac:dyDescent="0.25">
      <c r="B156" s="5">
        <v>120</v>
      </c>
      <c r="C156" s="2">
        <f t="shared" si="4"/>
        <v>14017.765861992733</v>
      </c>
      <c r="F156" s="2">
        <f t="shared" si="5"/>
        <v>1657.7355420097699</v>
      </c>
      <c r="I156" s="2">
        <f t="shared" si="6"/>
        <v>2088.7467829323095</v>
      </c>
      <c r="L156" s="31">
        <f t="shared" si="7"/>
        <v>5258.4200260320886</v>
      </c>
      <c r="M156" s="9"/>
      <c r="N156" s="9"/>
    </row>
    <row r="157" spans="2:14" x14ac:dyDescent="0.25">
      <c r="B157" s="5">
        <v>130</v>
      </c>
      <c r="C157" s="2">
        <f t="shared" si="4"/>
        <v>15185.913017158795</v>
      </c>
      <c r="F157" s="2">
        <f t="shared" si="5"/>
        <v>1716.1428997680732</v>
      </c>
      <c r="I157" s="2">
        <f t="shared" si="6"/>
        <v>2162.3400537077719</v>
      </c>
      <c r="L157" s="31">
        <f t="shared" si="7"/>
        <v>5443.6910852093151</v>
      </c>
      <c r="M157" s="9"/>
      <c r="N157" s="9"/>
    </row>
    <row r="158" spans="2:14" x14ac:dyDescent="0.25">
      <c r="B158" s="5">
        <v>140</v>
      </c>
      <c r="C158" s="2">
        <f t="shared" si="4"/>
        <v>16354.060172324856</v>
      </c>
      <c r="F158" s="2">
        <f t="shared" si="5"/>
        <v>1774.5502575263761</v>
      </c>
      <c r="I158" s="2">
        <f t="shared" si="6"/>
        <v>2235.9333244832337</v>
      </c>
      <c r="L158" s="31">
        <f t="shared" si="7"/>
        <v>5628.9621443865399</v>
      </c>
      <c r="M158" s="9"/>
      <c r="N158" s="9"/>
    </row>
    <row r="159" spans="2:14" x14ac:dyDescent="0.25">
      <c r="B159" s="5">
        <v>150</v>
      </c>
      <c r="C159" s="2">
        <f t="shared" si="4"/>
        <v>17522.207327490916</v>
      </c>
      <c r="F159" s="2">
        <f t="shared" si="5"/>
        <v>1832.9576152846794</v>
      </c>
      <c r="I159" s="2">
        <f t="shared" si="6"/>
        <v>2309.5265952586956</v>
      </c>
      <c r="L159" s="31">
        <f t="shared" si="7"/>
        <v>5814.2332035637655</v>
      </c>
      <c r="M159" s="9"/>
      <c r="N159" s="9"/>
    </row>
    <row r="160" spans="2:14" x14ac:dyDescent="0.25">
      <c r="B160" s="5">
        <v>160</v>
      </c>
      <c r="C160" s="2">
        <f t="shared" si="4"/>
        <v>18690.354482656978</v>
      </c>
      <c r="F160" s="2">
        <f t="shared" si="5"/>
        <v>1891.3649730429822</v>
      </c>
      <c r="I160" s="2">
        <f t="shared" si="6"/>
        <v>2383.1198660341574</v>
      </c>
      <c r="L160" s="31">
        <f t="shared" si="7"/>
        <v>5999.5042627409903</v>
      </c>
      <c r="M160" s="9"/>
      <c r="N160" s="9"/>
    </row>
  </sheetData>
  <mergeCells count="121">
    <mergeCell ref="B116:D116"/>
    <mergeCell ref="F116:G116"/>
    <mergeCell ref="L116:N116"/>
    <mergeCell ref="P116:Q116"/>
    <mergeCell ref="B122:C125"/>
    <mergeCell ref="B143:C146"/>
    <mergeCell ref="B113:D113"/>
    <mergeCell ref="L113:N113"/>
    <mergeCell ref="B114:D114"/>
    <mergeCell ref="L114:N114"/>
    <mergeCell ref="B115:C115"/>
    <mergeCell ref="L115:M115"/>
    <mergeCell ref="L109:M109"/>
    <mergeCell ref="P109:Q109"/>
    <mergeCell ref="F110:G110"/>
    <mergeCell ref="P110:Q110"/>
    <mergeCell ref="B112:D112"/>
    <mergeCell ref="F112:G112"/>
    <mergeCell ref="L112:N112"/>
    <mergeCell ref="P112:Q112"/>
    <mergeCell ref="B101:D101"/>
    <mergeCell ref="B102:D102"/>
    <mergeCell ref="B103:C103"/>
    <mergeCell ref="B104:D104"/>
    <mergeCell ref="F104:G104"/>
    <mergeCell ref="B109:C109"/>
    <mergeCell ref="F109:G109"/>
    <mergeCell ref="D95:E95"/>
    <mergeCell ref="B97:C97"/>
    <mergeCell ref="F97:G97"/>
    <mergeCell ref="F98:G98"/>
    <mergeCell ref="B100:D100"/>
    <mergeCell ref="F100:G100"/>
    <mergeCell ref="A79:J79"/>
    <mergeCell ref="A82:I82"/>
    <mergeCell ref="A84:H84"/>
    <mergeCell ref="A85:J85"/>
    <mergeCell ref="A89:J89"/>
    <mergeCell ref="A90:J90"/>
    <mergeCell ref="A74:E74"/>
    <mergeCell ref="A75:F75"/>
    <mergeCell ref="I75:J75"/>
    <mergeCell ref="I76:J76"/>
    <mergeCell ref="I77:J77"/>
    <mergeCell ref="I78:J78"/>
    <mergeCell ref="A65:J65"/>
    <mergeCell ref="A67:I67"/>
    <mergeCell ref="A69:E69"/>
    <mergeCell ref="I69:J69"/>
    <mergeCell ref="C70:F70"/>
    <mergeCell ref="C71:F71"/>
    <mergeCell ref="C54:F54"/>
    <mergeCell ref="C55:F55"/>
    <mergeCell ref="C58:F58"/>
    <mergeCell ref="C60:G60"/>
    <mergeCell ref="C62:E62"/>
    <mergeCell ref="C63:F63"/>
    <mergeCell ref="A49:E49"/>
    <mergeCell ref="H50:I50"/>
    <mergeCell ref="C51:F51"/>
    <mergeCell ref="H51:I51"/>
    <mergeCell ref="C52:F52"/>
    <mergeCell ref="C53:F53"/>
    <mergeCell ref="B41:D41"/>
    <mergeCell ref="F41:H41"/>
    <mergeCell ref="A42:E42"/>
    <mergeCell ref="A43:J43"/>
    <mergeCell ref="A45:J45"/>
    <mergeCell ref="A47:J47"/>
    <mergeCell ref="A36:E36"/>
    <mergeCell ref="B37:D37"/>
    <mergeCell ref="E37:F37"/>
    <mergeCell ref="B38:D38"/>
    <mergeCell ref="B39:D39"/>
    <mergeCell ref="B40:D40"/>
    <mergeCell ref="A28:D28"/>
    <mergeCell ref="E28:F28"/>
    <mergeCell ref="A31:F31"/>
    <mergeCell ref="A32:D32"/>
    <mergeCell ref="E32:F32"/>
    <mergeCell ref="A33:D33"/>
    <mergeCell ref="A25:D25"/>
    <mergeCell ref="E25:F25"/>
    <mergeCell ref="A26:D26"/>
    <mergeCell ref="E26:F26"/>
    <mergeCell ref="A27:D27"/>
    <mergeCell ref="E27:F27"/>
    <mergeCell ref="K18:N18"/>
    <mergeCell ref="A19:F19"/>
    <mergeCell ref="A20:F20"/>
    <mergeCell ref="A23:F23"/>
    <mergeCell ref="A24:D24"/>
    <mergeCell ref="E24:F24"/>
    <mergeCell ref="A16:D16"/>
    <mergeCell ref="E16:F16"/>
    <mergeCell ref="K16:N17"/>
    <mergeCell ref="H20:N21"/>
    <mergeCell ref="O16:O17"/>
    <mergeCell ref="P16:P17"/>
    <mergeCell ref="T17:V17"/>
    <mergeCell ref="A14:D14"/>
    <mergeCell ref="E14:F14"/>
    <mergeCell ref="K14:N15"/>
    <mergeCell ref="O14:O15"/>
    <mergeCell ref="P14:P15"/>
    <mergeCell ref="E15:F15"/>
    <mergeCell ref="A11:F11"/>
    <mergeCell ref="K11:N11"/>
    <mergeCell ref="A12:C12"/>
    <mergeCell ref="E12:F12"/>
    <mergeCell ref="K12:N12"/>
    <mergeCell ref="A13:D13"/>
    <mergeCell ref="E13:F13"/>
    <mergeCell ref="K13:N13"/>
    <mergeCell ref="C2:F6"/>
    <mergeCell ref="H3:P5"/>
    <mergeCell ref="F7:H7"/>
    <mergeCell ref="K7:N7"/>
    <mergeCell ref="B8:C8"/>
    <mergeCell ref="I9:P9"/>
    <mergeCell ref="A9:F9"/>
  </mergeCells>
  <conditionalFormatting sqref="P19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{9A2C5DFB-8DF5-4292-A73A-AA2BBF29E4EA}</x14:id>
        </ext>
      </extLst>
    </cfRule>
  </conditionalFormatting>
  <dataValidations count="3">
    <dataValidation type="list" allowBlank="1" showInputMessage="1" showErrorMessage="1" sqref="F7:H7 T17:V17">
      <formula1>$Q$119:$Q$122</formula1>
    </dataValidation>
    <dataValidation type="list" allowBlank="1" showInputMessage="1" showErrorMessage="1" sqref="L51">
      <formula1>"LINEAR, MÉTODO COLE"</formula1>
    </dataValidation>
    <dataValidation type="list" allowBlank="1" showInputMessage="1" showErrorMessage="1" sqref="E15:F15">
      <formula1>"0,1,2,3,4,5,6,7,8,9,10,11,12,13,14,15"</formula1>
    </dataValidation>
  </dataValidations>
  <pageMargins left="0.51181102362204722" right="0.51181102362204722" top="0.78740157480314965" bottom="0.78740157480314965" header="0.31496062992125984" footer="0.31496062992125984"/>
  <pageSetup paperSize="9" scale="50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A2C5DFB-8DF5-4292-A73A-AA2BBF29E4E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P19</xm:sqref>
        </x14:conditionalFormatting>
      </x14:conditionalFormattings>
    </ext>
  </extLst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48">
    <tabColor rgb="FF00B0F0"/>
  </sheetPr>
  <dimension ref="A2:V160"/>
  <sheetViews>
    <sheetView tabSelected="1" view="pageBreakPreview" topLeftCell="A47" zoomScale="85" zoomScaleNormal="100" zoomScaleSheetLayoutView="85" workbookViewId="0">
      <selection activeCell="A57" sqref="A57"/>
    </sheetView>
  </sheetViews>
  <sheetFormatPr defaultColWidth="8.85546875" defaultRowHeight="15" x14ac:dyDescent="0.25"/>
  <cols>
    <col min="2" max="2" width="14.140625" customWidth="1"/>
    <col min="3" max="3" width="15.28515625" customWidth="1"/>
    <col min="5" max="5" width="12.42578125" customWidth="1"/>
    <col min="6" max="6" width="13.5703125" customWidth="1"/>
    <col min="7" max="7" width="12.140625" customWidth="1"/>
    <col min="9" max="9" width="10.7109375" customWidth="1"/>
    <col min="10" max="10" width="12.140625" bestFit="1" customWidth="1"/>
    <col min="11" max="11" width="16.42578125" bestFit="1" customWidth="1"/>
    <col min="12" max="12" width="14.42578125" customWidth="1"/>
    <col min="14" max="14" width="6.42578125" customWidth="1"/>
    <col min="15" max="15" width="9" customWidth="1"/>
    <col min="16" max="16" width="10.42578125" customWidth="1"/>
    <col min="17" max="17" width="15.140625" customWidth="1"/>
    <col min="18" max="18" width="14.7109375" bestFit="1" customWidth="1"/>
    <col min="19" max="19" width="19.42578125" bestFit="1" customWidth="1"/>
  </cols>
  <sheetData>
    <row r="2" spans="1:19" x14ac:dyDescent="0.25">
      <c r="C2" s="239" t="s">
        <v>151</v>
      </c>
      <c r="D2" s="240"/>
      <c r="E2" s="240"/>
      <c r="F2" s="240"/>
    </row>
    <row r="3" spans="1:19" x14ac:dyDescent="0.25">
      <c r="C3" s="240"/>
      <c r="D3" s="240"/>
      <c r="E3" s="240"/>
      <c r="F3" s="240"/>
      <c r="H3" s="241" t="s">
        <v>64</v>
      </c>
      <c r="I3" s="239"/>
      <c r="J3" s="239"/>
      <c r="K3" s="239"/>
      <c r="L3" s="239"/>
      <c r="M3" s="239"/>
      <c r="N3" s="239"/>
      <c r="O3" s="239"/>
      <c r="P3" s="239"/>
    </row>
    <row r="4" spans="1:19" x14ac:dyDescent="0.25">
      <c r="C4" s="240"/>
      <c r="D4" s="240"/>
      <c r="E4" s="240"/>
      <c r="F4" s="240"/>
      <c r="H4" s="239"/>
      <c r="I4" s="239"/>
      <c r="J4" s="239"/>
      <c r="K4" s="239"/>
      <c r="L4" s="239"/>
      <c r="M4" s="239"/>
      <c r="N4" s="239"/>
      <c r="O4" s="239"/>
      <c r="P4" s="239"/>
    </row>
    <row r="5" spans="1:19" x14ac:dyDescent="0.25">
      <c r="C5" s="240"/>
      <c r="D5" s="240"/>
      <c r="E5" s="240"/>
      <c r="F5" s="240"/>
      <c r="H5" s="239"/>
      <c r="I5" s="239"/>
      <c r="J5" s="239"/>
      <c r="K5" s="239"/>
      <c r="L5" s="239"/>
      <c r="M5" s="239"/>
      <c r="N5" s="239"/>
      <c r="O5" s="239"/>
      <c r="P5" s="239"/>
    </row>
    <row r="6" spans="1:19" x14ac:dyDescent="0.25">
      <c r="C6" s="240"/>
      <c r="D6" s="240"/>
      <c r="E6" s="240"/>
      <c r="F6" s="240"/>
    </row>
    <row r="7" spans="1:19" ht="21" x14ac:dyDescent="0.35">
      <c r="E7" s="18" t="s">
        <v>80</v>
      </c>
      <c r="F7" s="235" t="s">
        <v>65</v>
      </c>
      <c r="G7" s="235"/>
      <c r="H7" s="235"/>
      <c r="K7" s="242" t="s">
        <v>286</v>
      </c>
      <c r="L7" s="243"/>
      <c r="M7" s="243"/>
      <c r="N7" s="243"/>
    </row>
    <row r="8" spans="1:19" ht="15.75" x14ac:dyDescent="0.25">
      <c r="B8" s="194"/>
      <c r="C8" s="194"/>
      <c r="D8" s="8"/>
      <c r="E8" s="8"/>
      <c r="F8" s="8"/>
      <c r="J8" s="9"/>
    </row>
    <row r="9" spans="1:19" ht="21" x14ac:dyDescent="0.35">
      <c r="A9" s="235" t="s">
        <v>352</v>
      </c>
      <c r="B9" s="235"/>
      <c r="C9" s="235"/>
      <c r="D9" s="235"/>
      <c r="E9" s="235"/>
      <c r="F9" s="235"/>
      <c r="I9" s="244" t="s">
        <v>157</v>
      </c>
      <c r="J9" s="244"/>
      <c r="K9" s="244"/>
      <c r="L9" s="244"/>
      <c r="M9" s="244"/>
      <c r="N9" s="244"/>
      <c r="O9" s="244"/>
      <c r="P9" s="244"/>
      <c r="R9" s="9" t="s">
        <v>155</v>
      </c>
      <c r="S9" s="9" t="s">
        <v>156</v>
      </c>
    </row>
    <row r="10" spans="1:19" x14ac:dyDescent="0.25">
      <c r="R10" s="2">
        <f>K43</f>
        <v>2862.6691116201223</v>
      </c>
      <c r="S10" s="43">
        <f>K45</f>
        <v>5594.4733495661822</v>
      </c>
    </row>
    <row r="11" spans="1:19" ht="17.25" x14ac:dyDescent="0.3">
      <c r="A11" s="236" t="s">
        <v>150</v>
      </c>
      <c r="B11" s="237"/>
      <c r="C11" s="237"/>
      <c r="D11" s="237"/>
      <c r="E11" s="237"/>
      <c r="F11" s="238"/>
      <c r="G11" s="40" t="s">
        <v>0</v>
      </c>
      <c r="K11" s="206" t="s">
        <v>15</v>
      </c>
      <c r="L11" s="206"/>
      <c r="M11" s="206"/>
      <c r="N11" s="206"/>
      <c r="O11" s="161">
        <f>O12+O13</f>
        <v>76.28</v>
      </c>
      <c r="P11" s="47" t="s">
        <v>14</v>
      </c>
      <c r="R11" s="130">
        <f>K65/O18*O14</f>
        <v>7094.8191397951141</v>
      </c>
      <c r="S11" s="130">
        <f>K65/O18*O16</f>
        <v>12042.125838407548</v>
      </c>
    </row>
    <row r="12" spans="1:19" ht="15.75" x14ac:dyDescent="0.25">
      <c r="A12" s="214" t="s">
        <v>107</v>
      </c>
      <c r="B12" s="215"/>
      <c r="C12" s="215"/>
      <c r="D12" s="48"/>
      <c r="E12" s="218">
        <f>Insumos!$B$4</f>
        <v>531068.38</v>
      </c>
      <c r="F12" s="218"/>
      <c r="G12" s="1"/>
      <c r="K12" s="206" t="s">
        <v>136</v>
      </c>
      <c r="L12" s="206"/>
      <c r="M12" s="206"/>
      <c r="N12" s="206"/>
      <c r="O12" s="150">
        <v>28.28</v>
      </c>
      <c r="P12" s="47" t="s">
        <v>14</v>
      </c>
      <c r="R12" s="2">
        <f>K72/O18*O14</f>
        <v>692.2172611833571</v>
      </c>
      <c r="S12" s="2">
        <f>K72/O18*O16</f>
        <v>1174.9090713154576</v>
      </c>
    </row>
    <row r="13" spans="1:19" ht="15.75" x14ac:dyDescent="0.25">
      <c r="A13" s="214" t="s">
        <v>285</v>
      </c>
      <c r="B13" s="215"/>
      <c r="C13" s="215"/>
      <c r="D13" s="216"/>
      <c r="E13" s="198">
        <f>'DEPRECIAÇÃO LINEAR'!D15</f>
        <v>10</v>
      </c>
      <c r="F13" s="198"/>
      <c r="K13" s="206" t="s">
        <v>137</v>
      </c>
      <c r="L13" s="206"/>
      <c r="M13" s="206"/>
      <c r="N13" s="206"/>
      <c r="O13" s="150">
        <v>48</v>
      </c>
      <c r="P13" s="47" t="s">
        <v>14</v>
      </c>
      <c r="R13" s="2">
        <f>K79/O18*O14</f>
        <v>1034.2532919375385</v>
      </c>
      <c r="S13" s="2">
        <f>K79/O18*O16</f>
        <v>1755.4511320014799</v>
      </c>
    </row>
    <row r="14" spans="1:19" ht="15" customHeight="1" x14ac:dyDescent="0.25">
      <c r="A14" s="214" t="s">
        <v>23</v>
      </c>
      <c r="B14" s="215"/>
      <c r="C14" s="215"/>
      <c r="D14" s="216"/>
      <c r="E14" s="219">
        <v>2026</v>
      </c>
      <c r="F14" s="220"/>
      <c r="K14" s="223" t="s">
        <v>138</v>
      </c>
      <c r="L14" s="223"/>
      <c r="M14" s="223"/>
      <c r="N14" s="223"/>
      <c r="O14" s="232">
        <f>O12*21</f>
        <v>593.88</v>
      </c>
      <c r="P14" s="234" t="s">
        <v>14</v>
      </c>
      <c r="R14" s="2">
        <f>SUM(R10:R13)</f>
        <v>11683.958804536132</v>
      </c>
      <c r="S14" s="2">
        <f>SUM(S10:S13)</f>
        <v>20566.959391290668</v>
      </c>
    </row>
    <row r="15" spans="1:19" ht="15.75" customHeight="1" x14ac:dyDescent="0.25">
      <c r="A15" s="49" t="s">
        <v>79</v>
      </c>
      <c r="B15" s="48"/>
      <c r="C15" s="48"/>
      <c r="D15" s="48"/>
      <c r="E15" s="198">
        <v>0</v>
      </c>
      <c r="F15" s="198"/>
      <c r="G15" s="41" t="s">
        <v>128</v>
      </c>
      <c r="I15" s="28"/>
      <c r="J15" s="28"/>
      <c r="K15" s="223"/>
      <c r="L15" s="223"/>
      <c r="M15" s="223"/>
      <c r="N15" s="223"/>
      <c r="O15" s="233"/>
      <c r="P15" s="234"/>
      <c r="R15" s="31">
        <f>IFERROR(R14/O14,0)</f>
        <v>19.673938850502008</v>
      </c>
      <c r="S15" s="31">
        <f>IFERROR(S14/O16,0)</f>
        <v>20.403729554851854</v>
      </c>
    </row>
    <row r="16" spans="1:19" ht="15" customHeight="1" x14ac:dyDescent="0.25">
      <c r="A16" s="214" t="s">
        <v>84</v>
      </c>
      <c r="B16" s="215"/>
      <c r="C16" s="215"/>
      <c r="D16" s="215"/>
      <c r="E16" s="198" t="str">
        <f>IF($F$7=$D$95,F104,IF($F$7=$D$107,F116,IF($F$7=$N$95,Q104,IF($F$7=$O$107,P116,""))))</f>
        <v>ATÉ 59 ALUNOS</v>
      </c>
      <c r="F16" s="198"/>
      <c r="I16" s="28"/>
      <c r="J16" s="28"/>
      <c r="K16" s="223" t="s">
        <v>139</v>
      </c>
      <c r="L16" s="223"/>
      <c r="M16" s="223"/>
      <c r="N16" s="223"/>
      <c r="O16" s="232">
        <f>O13*21</f>
        <v>1008</v>
      </c>
      <c r="P16" s="234" t="s">
        <v>14</v>
      </c>
    </row>
    <row r="17" spans="1:22" ht="15" customHeight="1" x14ac:dyDescent="0.35">
      <c r="I17" s="28"/>
      <c r="J17" s="28"/>
      <c r="K17" s="223"/>
      <c r="L17" s="223"/>
      <c r="M17" s="223"/>
      <c r="N17" s="223"/>
      <c r="O17" s="233"/>
      <c r="P17" s="234"/>
      <c r="R17" s="2">
        <f>R14+S14</f>
        <v>32250.918195826802</v>
      </c>
      <c r="T17" s="235"/>
      <c r="U17" s="235"/>
      <c r="V17" s="235"/>
    </row>
    <row r="18" spans="1:22" ht="15" customHeight="1" x14ac:dyDescent="0.25">
      <c r="I18" s="28"/>
      <c r="J18" s="28"/>
      <c r="K18" s="223" t="s">
        <v>140</v>
      </c>
      <c r="L18" s="223"/>
      <c r="M18" s="223"/>
      <c r="N18" s="223"/>
      <c r="O18" s="46">
        <f>O16+O14</f>
        <v>1601.88</v>
      </c>
      <c r="P18" s="47" t="s">
        <v>14</v>
      </c>
      <c r="R18" s="2">
        <f>R17/O18</f>
        <v>20.133167400695932</v>
      </c>
    </row>
    <row r="19" spans="1:22" ht="15.75" customHeight="1" thickBot="1" x14ac:dyDescent="0.35">
      <c r="A19" s="224" t="s">
        <v>1</v>
      </c>
      <c r="B19" s="225"/>
      <c r="C19" s="225"/>
      <c r="D19" s="225"/>
      <c r="E19" s="225"/>
      <c r="F19" s="225"/>
      <c r="I19" s="29"/>
      <c r="J19" s="29"/>
      <c r="K19" s="29"/>
      <c r="L19" s="29"/>
      <c r="M19" s="29"/>
    </row>
    <row r="20" spans="1:22" ht="15" customHeight="1" x14ac:dyDescent="0.25">
      <c r="A20" s="206" t="s">
        <v>106</v>
      </c>
      <c r="B20" s="206"/>
      <c r="C20" s="206"/>
      <c r="D20" s="206"/>
      <c r="E20" s="206"/>
      <c r="F20" s="206"/>
      <c r="H20" s="245" t="s">
        <v>316</v>
      </c>
      <c r="I20" s="246"/>
      <c r="J20" s="246"/>
      <c r="K20" s="246"/>
      <c r="L20" s="246"/>
      <c r="M20" s="246"/>
      <c r="N20" s="247"/>
      <c r="O20" s="93">
        <f>K90</f>
        <v>20.133167400695932</v>
      </c>
      <c r="R20" s="93">
        <f>K90</f>
        <v>20.133167400695932</v>
      </c>
    </row>
    <row r="21" spans="1:22" ht="15.75" thickBot="1" x14ac:dyDescent="0.3">
      <c r="H21" s="248"/>
      <c r="I21" s="249"/>
      <c r="J21" s="249"/>
      <c r="K21" s="249"/>
      <c r="L21" s="249"/>
      <c r="M21" s="249"/>
      <c r="N21" s="250"/>
      <c r="O21" s="2"/>
    </row>
    <row r="23" spans="1:22" ht="17.25" x14ac:dyDescent="0.3">
      <c r="A23" s="224" t="s">
        <v>2</v>
      </c>
      <c r="B23" s="225"/>
      <c r="C23" s="225"/>
      <c r="D23" s="225"/>
      <c r="E23" s="225"/>
      <c r="F23" s="225"/>
      <c r="L23" s="2"/>
    </row>
    <row r="24" spans="1:22" ht="15.75" x14ac:dyDescent="0.25">
      <c r="A24" s="214" t="s">
        <v>11</v>
      </c>
      <c r="B24" s="215"/>
      <c r="C24" s="215"/>
      <c r="D24" s="215"/>
      <c r="E24" s="198">
        <f>IF($F$7=$D$95,F100,IF($F$7=$D$107,F112,IF($F$7=$N$95,Q100,IF($F$7=$O$107,P112,""))))</f>
        <v>6</v>
      </c>
      <c r="F24" s="198"/>
    </row>
    <row r="25" spans="1:22" ht="15.75" x14ac:dyDescent="0.25">
      <c r="A25" s="214" t="s">
        <v>9</v>
      </c>
      <c r="B25" s="215"/>
      <c r="C25" s="215"/>
      <c r="D25" s="216"/>
      <c r="E25" s="218">
        <f>Insumos!$B$5</f>
        <v>2453.2399999999998</v>
      </c>
      <c r="F25" s="218"/>
    </row>
    <row r="26" spans="1:22" ht="15.75" x14ac:dyDescent="0.25">
      <c r="A26" s="214" t="s">
        <v>147</v>
      </c>
      <c r="B26" s="215"/>
      <c r="C26" s="215"/>
      <c r="D26" s="216"/>
      <c r="E26" s="219">
        <v>2</v>
      </c>
      <c r="F26" s="220"/>
    </row>
    <row r="27" spans="1:22" ht="15.75" x14ac:dyDescent="0.25">
      <c r="A27" s="214" t="s">
        <v>148</v>
      </c>
      <c r="B27" s="215"/>
      <c r="C27" s="215"/>
      <c r="D27" s="216"/>
      <c r="E27" s="221">
        <f>Insumos!$B$6</f>
        <v>975.83</v>
      </c>
      <c r="F27" s="222"/>
    </row>
    <row r="28" spans="1:22" ht="15.75" x14ac:dyDescent="0.25">
      <c r="A28" s="214" t="s">
        <v>149</v>
      </c>
      <c r="B28" s="215"/>
      <c r="C28" s="215"/>
      <c r="D28" s="216"/>
      <c r="E28" s="217">
        <v>100000</v>
      </c>
      <c r="F28" s="217"/>
    </row>
    <row r="31" spans="1:22" ht="15.75" x14ac:dyDescent="0.25">
      <c r="A31" s="191" t="s">
        <v>3</v>
      </c>
      <c r="B31" s="192"/>
      <c r="C31" s="192"/>
      <c r="D31" s="192"/>
      <c r="E31" s="192"/>
      <c r="F31" s="192"/>
    </row>
    <row r="32" spans="1:22" ht="15.75" x14ac:dyDescent="0.25">
      <c r="A32" s="214" t="s">
        <v>19</v>
      </c>
      <c r="B32" s="215"/>
      <c r="C32" s="215"/>
      <c r="D32" s="216"/>
      <c r="E32" s="218">
        <f>Insumos!$B$7</f>
        <v>7.6</v>
      </c>
      <c r="F32" s="218"/>
    </row>
    <row r="33" spans="1:14" ht="15.75" x14ac:dyDescent="0.25">
      <c r="A33" s="214" t="s">
        <v>17</v>
      </c>
      <c r="B33" s="215"/>
      <c r="C33" s="215"/>
      <c r="D33" s="216"/>
      <c r="E33" s="46">
        <f>IF($F$7=$D$95,G103,IF($F$7=$D$107,G115,IF($F$7=$N$95,Q103,IF($F$7=$O$107,Q115,""))))</f>
        <v>2.6</v>
      </c>
      <c r="F33" s="50" t="s">
        <v>18</v>
      </c>
    </row>
    <row r="36" spans="1:14" ht="17.25" x14ac:dyDescent="0.3">
      <c r="A36" s="208" t="s">
        <v>20</v>
      </c>
      <c r="B36" s="209"/>
      <c r="C36" s="209"/>
      <c r="D36" s="209"/>
      <c r="E36" s="209"/>
    </row>
    <row r="37" spans="1:14" x14ac:dyDescent="0.25">
      <c r="B37" s="210"/>
      <c r="C37" s="210"/>
      <c r="D37" s="211"/>
      <c r="E37" s="212" t="s">
        <v>4</v>
      </c>
      <c r="F37" s="213"/>
    </row>
    <row r="38" spans="1:14" ht="15.75" x14ac:dyDescent="0.25">
      <c r="A38" s="46" t="s">
        <v>346</v>
      </c>
      <c r="B38" s="214" t="s">
        <v>52</v>
      </c>
      <c r="C38" s="215"/>
      <c r="D38" s="216"/>
      <c r="E38" s="46">
        <f>1/E33</f>
        <v>0.38461538461538458</v>
      </c>
      <c r="F38" s="7" t="s">
        <v>5</v>
      </c>
      <c r="G38" s="7"/>
      <c r="H38" s="7"/>
      <c r="I38" s="7"/>
      <c r="J38" s="7"/>
      <c r="K38" s="58">
        <f>E32*E38</f>
        <v>2.9230769230769225</v>
      </c>
      <c r="L38" s="51" t="s">
        <v>13</v>
      </c>
      <c r="N38" s="2"/>
    </row>
    <row r="39" spans="1:14" ht="15.75" x14ac:dyDescent="0.25">
      <c r="A39" s="46" t="s">
        <v>6</v>
      </c>
      <c r="B39" s="206" t="s">
        <v>152</v>
      </c>
      <c r="C39" s="206"/>
      <c r="D39" s="206"/>
      <c r="E39" s="46">
        <v>0.04</v>
      </c>
      <c r="F39" s="7" t="s">
        <v>5</v>
      </c>
      <c r="G39" s="7"/>
      <c r="H39" s="7"/>
      <c r="I39" s="7"/>
      <c r="J39" s="7"/>
      <c r="K39" s="58">
        <f>E39*E32</f>
        <v>0.30399999999999999</v>
      </c>
      <c r="L39" s="51" t="s">
        <v>13</v>
      </c>
    </row>
    <row r="40" spans="1:14" ht="15.75" x14ac:dyDescent="0.25">
      <c r="A40" s="46" t="s">
        <v>7</v>
      </c>
      <c r="B40" s="206" t="s">
        <v>8</v>
      </c>
      <c r="C40" s="206"/>
      <c r="D40" s="206"/>
      <c r="E40" s="46"/>
      <c r="F40" s="7"/>
      <c r="G40" s="7"/>
      <c r="H40" s="7"/>
      <c r="I40" s="7"/>
      <c r="J40" s="7"/>
      <c r="K40" s="58">
        <f>((E25*E24)+(E26*E24*E27))/E28</f>
        <v>0.26429400000000003</v>
      </c>
      <c r="L40" s="51" t="s">
        <v>13</v>
      </c>
    </row>
    <row r="41" spans="1:14" ht="15.75" x14ac:dyDescent="0.25">
      <c r="A41" s="46" t="s">
        <v>12</v>
      </c>
      <c r="B41" s="206" t="s">
        <v>153</v>
      </c>
      <c r="C41" s="206"/>
      <c r="D41" s="206"/>
      <c r="E41" s="70">
        <v>3.0000000000000001E-6</v>
      </c>
      <c r="F41" s="193" t="s">
        <v>10</v>
      </c>
      <c r="G41" s="193"/>
      <c r="H41" s="193"/>
      <c r="I41" s="7"/>
      <c r="J41" s="7"/>
      <c r="K41" s="58">
        <f>(E41*E12)-(K40)</f>
        <v>1.32891114</v>
      </c>
      <c r="L41" s="51" t="s">
        <v>13</v>
      </c>
    </row>
    <row r="42" spans="1:14" ht="15.75" x14ac:dyDescent="0.25">
      <c r="A42" s="207"/>
      <c r="B42" s="207"/>
      <c r="C42" s="207"/>
      <c r="D42" s="207"/>
      <c r="E42" s="207"/>
      <c r="F42" s="7"/>
      <c r="G42" s="7"/>
      <c r="H42" s="7"/>
      <c r="I42" s="7"/>
      <c r="J42" s="7"/>
      <c r="K42" s="58">
        <f>SUM(K38:K41)</f>
        <v>4.8202820630769221</v>
      </c>
      <c r="L42" s="51" t="s">
        <v>13</v>
      </c>
    </row>
    <row r="43" spans="1:14" ht="21" customHeight="1" x14ac:dyDescent="0.25">
      <c r="A43" s="200" t="s">
        <v>144</v>
      </c>
      <c r="B43" s="200"/>
      <c r="C43" s="200"/>
      <c r="D43" s="200"/>
      <c r="E43" s="200"/>
      <c r="F43" s="200"/>
      <c r="G43" s="200"/>
      <c r="H43" s="200"/>
      <c r="I43" s="200"/>
      <c r="J43" s="200"/>
      <c r="K43" s="68">
        <f>K42*O14</f>
        <v>2862.6691116201223</v>
      </c>
      <c r="L43" s="52" t="s">
        <v>16</v>
      </c>
    </row>
    <row r="45" spans="1:14" ht="18.75" x14ac:dyDescent="0.3">
      <c r="A45" s="190" t="s">
        <v>145</v>
      </c>
      <c r="B45" s="190"/>
      <c r="C45" s="190"/>
      <c r="D45" s="190"/>
      <c r="E45" s="190"/>
      <c r="F45" s="190"/>
      <c r="G45" s="190"/>
      <c r="H45" s="190"/>
      <c r="I45" s="190"/>
      <c r="J45" s="190"/>
      <c r="K45" s="65">
        <f>K42*O16*1.1514</f>
        <v>5594.4733495661822</v>
      </c>
      <c r="L45" s="53" t="s">
        <v>16</v>
      </c>
    </row>
    <row r="46" spans="1:14" ht="15.75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</row>
    <row r="47" spans="1:14" ht="18.75" x14ac:dyDescent="0.3">
      <c r="A47" s="190" t="s">
        <v>146</v>
      </c>
      <c r="B47" s="190"/>
      <c r="C47" s="190"/>
      <c r="D47" s="190"/>
      <c r="E47" s="190"/>
      <c r="F47" s="190"/>
      <c r="G47" s="190"/>
      <c r="H47" s="190"/>
      <c r="I47" s="190"/>
      <c r="J47" s="190"/>
      <c r="K47" s="65">
        <f>K43+K45</f>
        <v>8457.142461186304</v>
      </c>
      <c r="L47" s="54" t="s">
        <v>16</v>
      </c>
    </row>
    <row r="49" spans="1:12" ht="15.75" x14ac:dyDescent="0.25">
      <c r="A49" s="197" t="s">
        <v>21</v>
      </c>
      <c r="B49" s="204"/>
      <c r="C49" s="204"/>
      <c r="D49" s="204"/>
      <c r="E49" s="204"/>
      <c r="F49" s="7"/>
      <c r="G49" s="7"/>
      <c r="H49" s="7"/>
      <c r="I49" s="7"/>
      <c r="J49" s="7"/>
      <c r="K49" s="7"/>
      <c r="L49" s="7"/>
    </row>
    <row r="50" spans="1:12" ht="15.75" x14ac:dyDescent="0.25">
      <c r="A50" s="3"/>
      <c r="B50" s="45"/>
      <c r="C50" s="45"/>
      <c r="D50" s="45"/>
      <c r="E50" s="45"/>
      <c r="F50" s="7"/>
      <c r="G50" s="7"/>
      <c r="H50" s="205" t="s">
        <v>25</v>
      </c>
      <c r="I50" s="205"/>
      <c r="J50" s="7"/>
      <c r="K50" s="7"/>
      <c r="L50" s="7"/>
    </row>
    <row r="51" spans="1:12" ht="15.75" x14ac:dyDescent="0.25">
      <c r="A51" s="7" t="s">
        <v>22</v>
      </c>
      <c r="B51" s="7"/>
      <c r="C51" s="193" t="s">
        <v>24</v>
      </c>
      <c r="D51" s="193"/>
      <c r="E51" s="193"/>
      <c r="F51" s="193"/>
      <c r="G51" s="7"/>
      <c r="H51" s="195"/>
      <c r="I51" s="195"/>
      <c r="J51" s="58"/>
      <c r="K51" s="59">
        <f>IF(L51="LINEAR",'DEPRECIAÇÃO LINEAR'!H23,(VLOOKUP(E15,'DEPRECIAÇÃO LINEAR'!W12:AM25,17,0)))</f>
        <v>3983.0128500000005</v>
      </c>
      <c r="L51" s="55" t="s">
        <v>130</v>
      </c>
    </row>
    <row r="52" spans="1:12" ht="15.75" x14ac:dyDescent="0.25">
      <c r="A52" s="7" t="s">
        <v>26</v>
      </c>
      <c r="B52" s="7"/>
      <c r="C52" s="193" t="s">
        <v>27</v>
      </c>
      <c r="D52" s="193"/>
      <c r="E52" s="193"/>
      <c r="F52" s="193"/>
      <c r="G52" s="7"/>
      <c r="H52" s="7"/>
      <c r="I52" s="7"/>
      <c r="J52" s="58"/>
      <c r="K52" s="58"/>
      <c r="L52" s="7"/>
    </row>
    <row r="53" spans="1:12" ht="15.75" x14ac:dyDescent="0.25">
      <c r="A53" s="7"/>
      <c r="B53" s="7" t="s">
        <v>31</v>
      </c>
      <c r="C53" s="193" t="s">
        <v>28</v>
      </c>
      <c r="D53" s="193"/>
      <c r="E53" s="193"/>
      <c r="F53" s="193"/>
      <c r="G53" s="7"/>
      <c r="H53" s="7"/>
      <c r="I53" s="7"/>
      <c r="J53" s="58"/>
      <c r="K53" s="58">
        <f>'Motorista de Veiculo Pesado'!E90</f>
        <v>8468.4608078400015</v>
      </c>
      <c r="L53" s="7"/>
    </row>
    <row r="54" spans="1:12" ht="15.75" x14ac:dyDescent="0.25">
      <c r="A54" s="7"/>
      <c r="B54" s="7" t="s">
        <v>32</v>
      </c>
      <c r="C54" s="193" t="s">
        <v>29</v>
      </c>
      <c r="D54" s="193"/>
      <c r="E54" s="193"/>
      <c r="F54" s="193"/>
      <c r="G54" s="7"/>
      <c r="H54" s="7"/>
      <c r="I54" s="7"/>
      <c r="J54" s="58"/>
      <c r="K54" s="58">
        <f>'Monitor de Transporte Escolar'!E90</f>
        <v>4485.726463695999</v>
      </c>
      <c r="L54" s="7"/>
    </row>
    <row r="55" spans="1:12" ht="15.75" x14ac:dyDescent="0.25">
      <c r="A55" s="7" t="s">
        <v>30</v>
      </c>
      <c r="B55" s="7"/>
      <c r="C55" s="193" t="s">
        <v>34</v>
      </c>
      <c r="D55" s="193"/>
      <c r="E55" s="193"/>
      <c r="F55" s="193"/>
      <c r="G55" s="7"/>
      <c r="H55" s="7"/>
      <c r="I55" s="7"/>
      <c r="J55" s="58"/>
      <c r="K55" s="58"/>
      <c r="L55" s="56"/>
    </row>
    <row r="56" spans="1:12" ht="15.75" x14ac:dyDescent="0.25">
      <c r="A56" s="7"/>
      <c r="B56" s="7" t="s">
        <v>33</v>
      </c>
      <c r="C56" s="7" t="s">
        <v>35</v>
      </c>
      <c r="D56" s="7"/>
      <c r="E56" s="7"/>
      <c r="F56" s="7"/>
      <c r="G56" s="7"/>
      <c r="H56" s="7"/>
      <c r="I56" s="7"/>
      <c r="J56" s="58">
        <f>1/100*E12</f>
        <v>5310.6837999999998</v>
      </c>
      <c r="K56" s="58">
        <f>J56/12</f>
        <v>442.55698333333333</v>
      </c>
      <c r="L56" s="7"/>
    </row>
    <row r="57" spans="1:12" ht="15.75" x14ac:dyDescent="0.25">
      <c r="A57" s="7"/>
      <c r="B57" s="7" t="s">
        <v>36</v>
      </c>
      <c r="C57" s="7" t="s">
        <v>37</v>
      </c>
      <c r="D57" s="7"/>
      <c r="E57" s="7"/>
      <c r="F57" s="7"/>
      <c r="G57" s="7"/>
      <c r="H57" s="7"/>
      <c r="I57" s="7"/>
      <c r="J57" s="58">
        <v>230.25</v>
      </c>
      <c r="K57" s="58">
        <f>J57/12</f>
        <v>19.1875</v>
      </c>
      <c r="L57" s="7"/>
    </row>
    <row r="58" spans="1:12" ht="15.75" x14ac:dyDescent="0.25">
      <c r="A58" s="7"/>
      <c r="B58" s="7" t="s">
        <v>38</v>
      </c>
      <c r="C58" s="193" t="s">
        <v>39</v>
      </c>
      <c r="D58" s="193"/>
      <c r="E58" s="193"/>
      <c r="F58" s="193"/>
      <c r="G58" s="7"/>
      <c r="H58" s="7"/>
      <c r="I58" s="7"/>
      <c r="J58" s="58">
        <v>161.80000000000001</v>
      </c>
      <c r="K58" s="58">
        <f>J58/12</f>
        <v>13.483333333333334</v>
      </c>
      <c r="L58" s="7"/>
    </row>
    <row r="59" spans="1:12" ht="15.75" x14ac:dyDescent="0.25">
      <c r="A59" s="7" t="s">
        <v>41</v>
      </c>
      <c r="B59" s="7"/>
      <c r="C59" s="7" t="s">
        <v>40</v>
      </c>
      <c r="D59" s="7"/>
      <c r="E59" s="7"/>
      <c r="F59" s="7"/>
      <c r="G59" s="7"/>
      <c r="H59" s="7"/>
      <c r="I59" s="7"/>
      <c r="J59" s="58">
        <v>0</v>
      </c>
      <c r="K59" s="58">
        <f>J59/12</f>
        <v>0</v>
      </c>
      <c r="L59" s="7"/>
    </row>
    <row r="60" spans="1:12" ht="15.75" x14ac:dyDescent="0.25">
      <c r="A60" s="7" t="s">
        <v>57</v>
      </c>
      <c r="B60" s="7"/>
      <c r="C60" s="193" t="s">
        <v>58</v>
      </c>
      <c r="D60" s="193"/>
      <c r="E60" s="193"/>
      <c r="F60" s="193"/>
      <c r="G60" s="193"/>
      <c r="H60" s="7"/>
      <c r="I60" s="7"/>
      <c r="J60" s="58">
        <f>Insumos!$B$8</f>
        <v>350.88</v>
      </c>
      <c r="K60" s="58">
        <f>4*J60</f>
        <v>1403.52</v>
      </c>
      <c r="L60" s="7"/>
    </row>
    <row r="61" spans="1:12" ht="15.75" x14ac:dyDescent="0.25">
      <c r="A61" s="7" t="s">
        <v>60</v>
      </c>
      <c r="B61" s="7"/>
      <c r="C61" s="45" t="s">
        <v>63</v>
      </c>
      <c r="D61" s="45"/>
      <c r="E61" s="45"/>
      <c r="F61" s="45"/>
      <c r="G61" s="45"/>
      <c r="H61" s="7"/>
      <c r="I61" s="7"/>
      <c r="J61" s="58">
        <f>Insumos!$B$9</f>
        <v>2680.95</v>
      </c>
      <c r="K61" s="58">
        <f>J61/12</f>
        <v>223.41249999999999</v>
      </c>
      <c r="L61" s="7"/>
    </row>
    <row r="62" spans="1:12" ht="15.75" x14ac:dyDescent="0.25">
      <c r="A62" s="7" t="s">
        <v>61</v>
      </c>
      <c r="B62" s="7"/>
      <c r="C62" s="193" t="s">
        <v>62</v>
      </c>
      <c r="D62" s="193"/>
      <c r="E62" s="193"/>
      <c r="F62" s="45"/>
      <c r="G62" s="45"/>
      <c r="H62" s="7"/>
      <c r="I62" s="7"/>
      <c r="J62" s="60">
        <f>Insumos!$B$10</f>
        <v>932.23</v>
      </c>
      <c r="K62" s="58">
        <f>J62/12</f>
        <v>77.685833333333335</v>
      </c>
      <c r="L62" s="7"/>
    </row>
    <row r="63" spans="1:12" ht="15.75" x14ac:dyDescent="0.25">
      <c r="A63" s="7" t="s">
        <v>142</v>
      </c>
      <c r="B63" s="7"/>
      <c r="C63" s="203" t="s">
        <v>143</v>
      </c>
      <c r="D63" s="203"/>
      <c r="E63" s="203"/>
      <c r="F63" s="203"/>
      <c r="G63" s="164"/>
      <c r="H63" s="7"/>
      <c r="I63" s="7"/>
      <c r="J63" s="60">
        <f>Insumos!$B$11</f>
        <v>471.82</v>
      </c>
      <c r="K63" s="72">
        <f>J63/24</f>
        <v>19.659166666666668</v>
      </c>
      <c r="L63" s="7"/>
    </row>
    <row r="64" spans="1:12" ht="15.75" x14ac:dyDescent="0.25">
      <c r="A64" s="7" t="s">
        <v>340</v>
      </c>
      <c r="B64" s="7"/>
      <c r="C64" s="165" t="s">
        <v>343</v>
      </c>
      <c r="D64" s="165"/>
      <c r="E64" s="165"/>
      <c r="F64" s="165"/>
      <c r="G64" s="164"/>
      <c r="H64" s="7"/>
      <c r="I64" s="7"/>
      <c r="J64" s="60">
        <f>Insumos!$B$12</f>
        <v>14.372399999999997</v>
      </c>
      <c r="K64" s="72">
        <f>J64/60</f>
        <v>0.23953999999999995</v>
      </c>
      <c r="L64" s="7"/>
    </row>
    <row r="65" spans="1:13" ht="20.25" customHeight="1" x14ac:dyDescent="0.25">
      <c r="A65" s="259" t="s">
        <v>43</v>
      </c>
      <c r="B65" s="260"/>
      <c r="C65" s="260"/>
      <c r="D65" s="260"/>
      <c r="E65" s="260"/>
      <c r="F65" s="260"/>
      <c r="G65" s="260"/>
      <c r="H65" s="260"/>
      <c r="I65" s="260"/>
      <c r="J65" s="261"/>
      <c r="K65" s="67">
        <f>SUM(K51:K64)</f>
        <v>19136.944978202664</v>
      </c>
      <c r="L65" s="57" t="s">
        <v>16</v>
      </c>
      <c r="M65" s="4"/>
    </row>
    <row r="67" spans="1:13" ht="19.5" customHeight="1" x14ac:dyDescent="0.3">
      <c r="A67" s="262" t="s">
        <v>132</v>
      </c>
      <c r="B67" s="263"/>
      <c r="C67" s="263"/>
      <c r="D67" s="263"/>
      <c r="E67" s="263"/>
      <c r="F67" s="263"/>
      <c r="G67" s="263"/>
      <c r="H67" s="263"/>
      <c r="I67" s="264"/>
      <c r="K67" s="66">
        <f>K47+K65</f>
        <v>27594.087439388968</v>
      </c>
    </row>
    <row r="69" spans="1:13" ht="15.75" x14ac:dyDescent="0.25">
      <c r="A69" s="254" t="s">
        <v>133</v>
      </c>
      <c r="B69" s="255"/>
      <c r="C69" s="255"/>
      <c r="D69" s="255"/>
      <c r="E69" s="256"/>
      <c r="I69" s="265" t="s">
        <v>55</v>
      </c>
      <c r="J69" s="266"/>
    </row>
    <row r="70" spans="1:13" ht="15.75" x14ac:dyDescent="0.25">
      <c r="A70" s="7" t="s">
        <v>341</v>
      </c>
      <c r="B70" s="7"/>
      <c r="C70" s="193" t="s">
        <v>54</v>
      </c>
      <c r="D70" s="193"/>
      <c r="E70" s="193"/>
      <c r="F70" s="193"/>
      <c r="G70" s="7"/>
      <c r="H70" s="7"/>
      <c r="I70" s="168">
        <f>Insumos!$B$15</f>
        <v>2.6599999999999999E-2</v>
      </c>
      <c r="J70" s="7"/>
      <c r="K70" s="58">
        <f>I70*K67</f>
        <v>734.00272588774646</v>
      </c>
      <c r="L70" s="7"/>
    </row>
    <row r="71" spans="1:13" ht="15.75" x14ac:dyDescent="0.25">
      <c r="A71" s="7" t="s">
        <v>342</v>
      </c>
      <c r="B71" s="7"/>
      <c r="C71" s="193" t="s">
        <v>59</v>
      </c>
      <c r="D71" s="193"/>
      <c r="E71" s="193"/>
      <c r="F71" s="193"/>
      <c r="G71" s="7"/>
      <c r="H71" s="7"/>
      <c r="I71" s="169">
        <f>Insumos!$B$16</f>
        <v>0.04</v>
      </c>
      <c r="J71" s="7"/>
      <c r="K71" s="58">
        <f>I71*(K67+K70)</f>
        <v>1133.1236066110685</v>
      </c>
      <c r="L71" s="7"/>
    </row>
    <row r="72" spans="1:13" ht="18.75" x14ac:dyDescent="0.3">
      <c r="A72" s="7"/>
      <c r="B72" s="7"/>
      <c r="C72" s="7"/>
      <c r="D72" s="7"/>
      <c r="E72" s="7"/>
      <c r="F72" s="7"/>
      <c r="G72" s="7"/>
      <c r="H72" s="7"/>
      <c r="I72" s="7"/>
      <c r="J72" s="61" t="s">
        <v>131</v>
      </c>
      <c r="K72" s="65">
        <f>SUM(K70:K71)</f>
        <v>1867.1263324988149</v>
      </c>
      <c r="L72" s="54" t="s">
        <v>16</v>
      </c>
    </row>
    <row r="74" spans="1:13" ht="15.75" x14ac:dyDescent="0.25">
      <c r="A74" s="254" t="s">
        <v>134</v>
      </c>
      <c r="B74" s="255"/>
      <c r="C74" s="255"/>
      <c r="D74" s="255"/>
      <c r="E74" s="256"/>
      <c r="F74" s="7"/>
      <c r="G74" s="7"/>
      <c r="H74" s="7"/>
      <c r="I74" s="7"/>
      <c r="J74" s="7"/>
      <c r="K74" s="7"/>
      <c r="L74" s="7"/>
    </row>
    <row r="75" spans="1:13" ht="15.75" x14ac:dyDescent="0.25">
      <c r="A75" s="193" t="s">
        <v>42</v>
      </c>
      <c r="B75" s="193"/>
      <c r="C75" s="193"/>
      <c r="D75" s="193"/>
      <c r="E75" s="193"/>
      <c r="F75" s="193"/>
      <c r="G75" s="7"/>
      <c r="H75" s="7"/>
      <c r="I75" s="219" t="s">
        <v>47</v>
      </c>
      <c r="J75" s="220"/>
      <c r="K75" s="51">
        <f>K67+K72</f>
        <v>29461.213771887782</v>
      </c>
      <c r="L75" s="7"/>
    </row>
    <row r="76" spans="1:13" ht="15.75" x14ac:dyDescent="0.25">
      <c r="A76" s="7" t="s">
        <v>53</v>
      </c>
      <c r="C76" s="7" t="s">
        <v>44</v>
      </c>
      <c r="D76" s="7"/>
      <c r="E76" s="7"/>
      <c r="F76" s="7"/>
      <c r="G76" s="7"/>
      <c r="H76" s="7"/>
      <c r="I76" s="257">
        <f>Insumos!$B$18</f>
        <v>0.05</v>
      </c>
      <c r="J76" s="258"/>
      <c r="K76" s="51">
        <f>$K$75/(1-(SUM($I$76:$J$78)))*I76</f>
        <v>1612.5459097913401</v>
      </c>
      <c r="L76" s="7"/>
    </row>
    <row r="77" spans="1:13" ht="15.75" x14ac:dyDescent="0.25">
      <c r="A77" s="7" t="s">
        <v>344</v>
      </c>
      <c r="C77" s="7" t="s">
        <v>45</v>
      </c>
      <c r="D77" s="7"/>
      <c r="E77" s="7"/>
      <c r="F77" s="7"/>
      <c r="G77" s="7"/>
      <c r="H77" s="7"/>
      <c r="I77" s="257">
        <f>Insumos!$B$19</f>
        <v>6.4999999999999997E-3</v>
      </c>
      <c r="J77" s="258"/>
      <c r="K77" s="51">
        <f>$K$75/(1-(SUM($I$76:$J$78)))*I77</f>
        <v>209.63096827287421</v>
      </c>
      <c r="L77" s="7"/>
    </row>
    <row r="78" spans="1:13" ht="15.75" x14ac:dyDescent="0.25">
      <c r="A78" s="7" t="s">
        <v>345</v>
      </c>
      <c r="C78" s="7" t="s">
        <v>46</v>
      </c>
      <c r="D78" s="7"/>
      <c r="E78" s="7"/>
      <c r="F78" s="7"/>
      <c r="G78" s="7"/>
      <c r="H78" s="7"/>
      <c r="I78" s="257">
        <f>Insumos!$B$20</f>
        <v>0.03</v>
      </c>
      <c r="J78" s="258"/>
      <c r="K78" s="51">
        <f>$K$75/(1-(SUM($I$76:$J$78)))*I78</f>
        <v>967.52754587480399</v>
      </c>
      <c r="L78" s="7"/>
    </row>
    <row r="79" spans="1:13" ht="21" customHeight="1" x14ac:dyDescent="0.3">
      <c r="A79" s="251" t="s">
        <v>48</v>
      </c>
      <c r="B79" s="252"/>
      <c r="C79" s="252"/>
      <c r="D79" s="252"/>
      <c r="E79" s="252"/>
      <c r="F79" s="252"/>
      <c r="G79" s="252"/>
      <c r="H79" s="252"/>
      <c r="I79" s="252"/>
      <c r="J79" s="253"/>
      <c r="K79" s="64">
        <f>SUM(K76:K78)</f>
        <v>2789.7044239390184</v>
      </c>
      <c r="L79" s="54" t="s">
        <v>16</v>
      </c>
    </row>
    <row r="81" spans="1:20" x14ac:dyDescent="0.25">
      <c r="C81" s="5"/>
      <c r="D81" s="5"/>
      <c r="E81" s="5"/>
      <c r="F81" s="5"/>
      <c r="K81" s="2"/>
    </row>
    <row r="82" spans="1:20" ht="15.75" x14ac:dyDescent="0.25">
      <c r="A82" s="191" t="s">
        <v>56</v>
      </c>
      <c r="B82" s="191"/>
      <c r="C82" s="191"/>
      <c r="D82" s="191"/>
      <c r="E82" s="191"/>
      <c r="F82" s="191"/>
      <c r="G82" s="191"/>
      <c r="H82" s="191"/>
      <c r="I82" s="191"/>
      <c r="T82" s="43"/>
    </row>
    <row r="83" spans="1:20" ht="15.75" x14ac:dyDescent="0.25">
      <c r="A83" s="6"/>
      <c r="B83" s="6"/>
      <c r="C83" s="6"/>
      <c r="D83" s="6"/>
      <c r="E83" s="6"/>
      <c r="F83" s="6"/>
      <c r="G83" s="6"/>
      <c r="H83" s="6"/>
      <c r="I83" s="6"/>
    </row>
    <row r="84" spans="1:20" ht="15.75" x14ac:dyDescent="0.25">
      <c r="A84" s="191" t="s">
        <v>51</v>
      </c>
      <c r="B84" s="192"/>
      <c r="C84" s="192"/>
      <c r="D84" s="192"/>
      <c r="E84" s="192"/>
      <c r="F84" s="192"/>
      <c r="G84" s="192"/>
      <c r="H84" s="192"/>
    </row>
    <row r="85" spans="1:20" ht="20.25" customHeight="1" x14ac:dyDescent="0.3">
      <c r="A85" s="193" t="s">
        <v>135</v>
      </c>
      <c r="B85" s="193"/>
      <c r="C85" s="193"/>
      <c r="D85" s="193"/>
      <c r="E85" s="193"/>
      <c r="F85" s="193"/>
      <c r="G85" s="193"/>
      <c r="H85" s="193"/>
      <c r="I85" s="193"/>
      <c r="J85" s="193"/>
      <c r="K85" s="62">
        <f>K67+K72+K79</f>
        <v>32250.918195826802</v>
      </c>
    </row>
    <row r="86" spans="1:20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2"/>
    </row>
    <row r="87" spans="1:20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2"/>
      <c r="P87" s="42"/>
    </row>
    <row r="88" spans="1:20" ht="8.25" customHeight="1" x14ac:dyDescent="0.25"/>
    <row r="89" spans="1:20" ht="16.5" customHeight="1" x14ac:dyDescent="0.25">
      <c r="A89" s="194" t="s">
        <v>49</v>
      </c>
      <c r="B89" s="195"/>
      <c r="C89" s="195"/>
      <c r="D89" s="195"/>
      <c r="E89" s="195"/>
      <c r="F89" s="195"/>
      <c r="G89" s="195"/>
      <c r="H89" s="195"/>
      <c r="I89" s="195"/>
      <c r="J89" s="195"/>
      <c r="K89" s="7"/>
      <c r="L89" s="7"/>
    </row>
    <row r="90" spans="1:20" ht="24.75" customHeight="1" x14ac:dyDescent="0.3">
      <c r="A90" s="196" t="s">
        <v>141</v>
      </c>
      <c r="B90" s="196"/>
      <c r="C90" s="196"/>
      <c r="D90" s="196"/>
      <c r="E90" s="196"/>
      <c r="F90" s="196"/>
      <c r="G90" s="196"/>
      <c r="H90" s="196"/>
      <c r="I90" s="196"/>
      <c r="J90" s="196"/>
      <c r="K90" s="71">
        <f>K85/O18</f>
        <v>20.133167400695932</v>
      </c>
      <c r="L90" s="63" t="s">
        <v>50</v>
      </c>
    </row>
    <row r="94" spans="1:20" s="10" customFormat="1" x14ac:dyDescent="0.25"/>
    <row r="95" spans="1:20" s="11" customFormat="1" ht="18.75" x14ac:dyDescent="0.3">
      <c r="B95" s="12" t="s">
        <v>69</v>
      </c>
      <c r="D95" s="188" t="s">
        <v>65</v>
      </c>
      <c r="E95" s="188"/>
      <c r="L95" s="12" t="s">
        <v>69</v>
      </c>
      <c r="M95" s="12"/>
      <c r="N95" s="12" t="s">
        <v>75</v>
      </c>
      <c r="O95" s="12"/>
    </row>
    <row r="96" spans="1:20" s="11" customFormat="1" x14ac:dyDescent="0.25"/>
    <row r="97" spans="2:18" s="11" customFormat="1" x14ac:dyDescent="0.25">
      <c r="B97" s="184" t="s">
        <v>66</v>
      </c>
      <c r="C97" s="184"/>
      <c r="D97" s="13"/>
      <c r="E97" s="13"/>
      <c r="F97" s="189">
        <v>288912</v>
      </c>
      <c r="G97" s="189"/>
      <c r="L97" s="13" t="s">
        <v>66</v>
      </c>
      <c r="M97" s="13"/>
      <c r="N97" s="13"/>
      <c r="O97" s="13"/>
      <c r="P97" s="13"/>
      <c r="Q97" s="30">
        <v>271500</v>
      </c>
    </row>
    <row r="98" spans="2:18" s="11" customFormat="1" x14ac:dyDescent="0.25">
      <c r="B98" s="13" t="s">
        <v>67</v>
      </c>
      <c r="D98" s="13"/>
      <c r="E98" s="13"/>
      <c r="F98" s="185">
        <v>10</v>
      </c>
      <c r="G98" s="185"/>
      <c r="H98" s="11" t="s">
        <v>154</v>
      </c>
      <c r="L98" s="13" t="s">
        <v>67</v>
      </c>
      <c r="M98" s="13"/>
      <c r="N98" s="13"/>
      <c r="O98" s="13"/>
      <c r="P98" s="13"/>
      <c r="Q98" s="13">
        <v>10</v>
      </c>
      <c r="R98" s="11" t="s">
        <v>154</v>
      </c>
    </row>
    <row r="99" spans="2:18" s="11" customFormat="1" x14ac:dyDescent="0.25">
      <c r="B99" s="13" t="s">
        <v>81</v>
      </c>
      <c r="D99" s="13"/>
      <c r="E99" s="13"/>
      <c r="F99" s="14"/>
      <c r="G99" s="14">
        <v>2018</v>
      </c>
      <c r="L99" s="13" t="s">
        <v>81</v>
      </c>
      <c r="N99" s="13"/>
      <c r="O99" s="13"/>
      <c r="P99" s="14"/>
      <c r="Q99" s="14">
        <v>2018</v>
      </c>
    </row>
    <row r="100" spans="2:18" s="11" customFormat="1" x14ac:dyDescent="0.25">
      <c r="B100" s="184" t="s">
        <v>68</v>
      </c>
      <c r="C100" s="184"/>
      <c r="D100" s="184"/>
      <c r="F100" s="185">
        <v>6</v>
      </c>
      <c r="G100" s="185"/>
      <c r="L100" s="13" t="s">
        <v>76</v>
      </c>
      <c r="M100" s="13"/>
      <c r="N100" s="13"/>
      <c r="O100" s="13"/>
      <c r="P100" s="13"/>
      <c r="Q100" s="13">
        <v>6</v>
      </c>
    </row>
    <row r="101" spans="2:18" s="11" customFormat="1" x14ac:dyDescent="0.25">
      <c r="B101" s="184" t="s">
        <v>71</v>
      </c>
      <c r="C101" s="184"/>
      <c r="D101" s="184"/>
      <c r="F101" s="14"/>
      <c r="G101" s="17">
        <v>100000</v>
      </c>
      <c r="L101" s="13" t="s">
        <v>71</v>
      </c>
      <c r="M101" s="13"/>
      <c r="N101" s="13"/>
      <c r="O101" s="13"/>
      <c r="P101" s="13"/>
      <c r="Q101" s="19">
        <v>100000</v>
      </c>
    </row>
    <row r="102" spans="2:18" s="11" customFormat="1" x14ac:dyDescent="0.25">
      <c r="B102" s="184" t="s">
        <v>72</v>
      </c>
      <c r="C102" s="184"/>
      <c r="D102" s="184"/>
      <c r="F102" s="14"/>
      <c r="G102" s="20">
        <v>1533.77</v>
      </c>
      <c r="L102" s="13" t="s">
        <v>72</v>
      </c>
      <c r="M102" s="13"/>
      <c r="N102" s="13"/>
      <c r="O102" s="13"/>
      <c r="P102" s="13"/>
      <c r="Q102" s="69">
        <v>860.69</v>
      </c>
    </row>
    <row r="103" spans="2:18" s="11" customFormat="1" x14ac:dyDescent="0.25">
      <c r="B103" s="184" t="s">
        <v>73</v>
      </c>
      <c r="C103" s="184"/>
      <c r="D103" s="15"/>
      <c r="F103" s="14"/>
      <c r="G103" s="14">
        <v>2.6</v>
      </c>
      <c r="H103" s="13" t="s">
        <v>74</v>
      </c>
      <c r="L103" s="13" t="s">
        <v>73</v>
      </c>
      <c r="M103" s="13"/>
      <c r="N103" s="13"/>
      <c r="O103" s="13"/>
      <c r="P103" s="13"/>
      <c r="Q103" s="13">
        <v>4.7</v>
      </c>
    </row>
    <row r="104" spans="2:18" s="11" customFormat="1" x14ac:dyDescent="0.25">
      <c r="B104" s="184" t="s">
        <v>70</v>
      </c>
      <c r="C104" s="184"/>
      <c r="D104" s="184"/>
      <c r="F104" s="185" t="s">
        <v>125</v>
      </c>
      <c r="G104" s="185"/>
      <c r="L104" s="13" t="s">
        <v>70</v>
      </c>
      <c r="M104" s="13"/>
      <c r="N104" s="13"/>
      <c r="O104" s="13"/>
      <c r="P104" s="13"/>
      <c r="Q104" s="13" t="s">
        <v>124</v>
      </c>
    </row>
    <row r="105" spans="2:18" s="11" customFormat="1" x14ac:dyDescent="0.25"/>
    <row r="106" spans="2:18" s="11" customFormat="1" x14ac:dyDescent="0.25"/>
    <row r="107" spans="2:18" s="11" customFormat="1" ht="18.75" x14ac:dyDescent="0.3">
      <c r="B107" s="12" t="s">
        <v>69</v>
      </c>
      <c r="C107" s="12"/>
      <c r="D107" s="12" t="s">
        <v>77</v>
      </c>
      <c r="E107" s="13"/>
      <c r="F107" s="13"/>
      <c r="G107" s="13"/>
      <c r="H107" s="13"/>
      <c r="L107" s="12" t="s">
        <v>69</v>
      </c>
      <c r="M107" s="16"/>
      <c r="N107" s="16"/>
      <c r="O107" s="12" t="s">
        <v>78</v>
      </c>
    </row>
    <row r="108" spans="2:18" s="11" customFormat="1" x14ac:dyDescent="0.25">
      <c r="B108" s="13"/>
      <c r="C108" s="13"/>
      <c r="D108" s="13"/>
      <c r="E108" s="13"/>
      <c r="F108" s="13"/>
      <c r="G108" s="13"/>
      <c r="H108" s="13"/>
    </row>
    <row r="109" spans="2:18" s="11" customFormat="1" x14ac:dyDescent="0.25">
      <c r="B109" s="184" t="s">
        <v>66</v>
      </c>
      <c r="C109" s="184"/>
      <c r="D109" s="13"/>
      <c r="E109" s="13"/>
      <c r="F109" s="185">
        <v>400</v>
      </c>
      <c r="G109" s="185"/>
      <c r="H109" s="13"/>
      <c r="L109" s="184" t="s">
        <v>66</v>
      </c>
      <c r="M109" s="184"/>
      <c r="N109" s="13"/>
      <c r="O109" s="13"/>
      <c r="P109" s="185" t="s">
        <v>78</v>
      </c>
      <c r="Q109" s="185"/>
      <c r="R109" s="13"/>
    </row>
    <row r="110" spans="2:18" s="11" customFormat="1" x14ac:dyDescent="0.25">
      <c r="B110" s="13" t="s">
        <v>67</v>
      </c>
      <c r="C110" s="13"/>
      <c r="D110" s="13"/>
      <c r="E110" s="13"/>
      <c r="F110" s="185">
        <v>10</v>
      </c>
      <c r="G110" s="185"/>
      <c r="H110" s="13" t="s">
        <v>154</v>
      </c>
      <c r="L110" s="13" t="s">
        <v>67</v>
      </c>
      <c r="M110" s="13"/>
      <c r="N110" s="13"/>
      <c r="O110" s="13"/>
      <c r="P110" s="185">
        <v>8</v>
      </c>
      <c r="Q110" s="185"/>
      <c r="R110" s="13" t="s">
        <v>154</v>
      </c>
    </row>
    <row r="111" spans="2:18" s="11" customFormat="1" x14ac:dyDescent="0.25">
      <c r="B111" s="13" t="s">
        <v>81</v>
      </c>
      <c r="D111" s="13"/>
      <c r="E111" s="13"/>
      <c r="F111" s="14"/>
      <c r="G111" s="14" t="s">
        <v>82</v>
      </c>
      <c r="L111" s="13" t="s">
        <v>81</v>
      </c>
      <c r="N111" s="13"/>
      <c r="O111" s="13"/>
      <c r="P111" s="14"/>
      <c r="Q111" s="14" t="s">
        <v>83</v>
      </c>
      <c r="R111" s="13"/>
    </row>
    <row r="112" spans="2:18" s="11" customFormat="1" x14ac:dyDescent="0.25">
      <c r="B112" s="184" t="s">
        <v>68</v>
      </c>
      <c r="C112" s="184"/>
      <c r="D112" s="184"/>
      <c r="E112" s="13"/>
      <c r="F112" s="185" t="s">
        <v>87</v>
      </c>
      <c r="G112" s="185"/>
      <c r="H112" s="13"/>
      <c r="L112" s="184" t="s">
        <v>68</v>
      </c>
      <c r="M112" s="184"/>
      <c r="N112" s="184"/>
      <c r="O112" s="13"/>
      <c r="P112" s="185" t="s">
        <v>88</v>
      </c>
      <c r="Q112" s="185"/>
      <c r="R112" s="13"/>
    </row>
    <row r="113" spans="2:21" s="11" customFormat="1" x14ac:dyDescent="0.25">
      <c r="B113" s="184" t="s">
        <v>71</v>
      </c>
      <c r="C113" s="184"/>
      <c r="D113" s="184"/>
      <c r="E113" s="13"/>
      <c r="F113" s="14"/>
      <c r="G113" s="14" t="s">
        <v>89</v>
      </c>
      <c r="H113" s="13"/>
      <c r="L113" s="184" t="s">
        <v>71</v>
      </c>
      <c r="M113" s="184"/>
      <c r="N113" s="184"/>
      <c r="O113" s="13"/>
      <c r="P113" s="14"/>
      <c r="Q113" s="14" t="s">
        <v>90</v>
      </c>
      <c r="R113" s="13"/>
    </row>
    <row r="114" spans="2:21" s="11" customFormat="1" x14ac:dyDescent="0.25">
      <c r="B114" s="184" t="s">
        <v>72</v>
      </c>
      <c r="C114" s="184"/>
      <c r="D114" s="184"/>
      <c r="E114" s="13"/>
      <c r="F114" s="14"/>
      <c r="G114" s="14">
        <v>400</v>
      </c>
      <c r="H114" s="13"/>
      <c r="L114" s="184" t="s">
        <v>72</v>
      </c>
      <c r="M114" s="184"/>
      <c r="N114" s="184"/>
      <c r="O114" s="13"/>
      <c r="P114" s="14"/>
      <c r="Q114" s="14">
        <v>4444</v>
      </c>
      <c r="R114" s="13"/>
    </row>
    <row r="115" spans="2:21" s="11" customFormat="1" x14ac:dyDescent="0.25">
      <c r="B115" s="184" t="s">
        <v>73</v>
      </c>
      <c r="C115" s="184"/>
      <c r="D115" s="15"/>
      <c r="E115" s="13"/>
      <c r="F115" s="14"/>
      <c r="G115" s="14">
        <v>2</v>
      </c>
      <c r="H115" s="13" t="s">
        <v>74</v>
      </c>
      <c r="L115" s="184" t="s">
        <v>73</v>
      </c>
      <c r="M115" s="184"/>
      <c r="N115" s="15"/>
      <c r="O115" s="13"/>
      <c r="P115" s="14"/>
      <c r="Q115" s="14">
        <v>4</v>
      </c>
      <c r="R115" s="13" t="s">
        <v>74</v>
      </c>
    </row>
    <row r="116" spans="2:21" s="11" customFormat="1" x14ac:dyDescent="0.25">
      <c r="B116" s="184" t="s">
        <v>70</v>
      </c>
      <c r="C116" s="184"/>
      <c r="D116" s="184"/>
      <c r="E116" s="13"/>
      <c r="F116" s="185" t="s">
        <v>85</v>
      </c>
      <c r="G116" s="185"/>
      <c r="H116" s="13"/>
      <c r="L116" s="184" t="s">
        <v>70</v>
      </c>
      <c r="M116" s="184"/>
      <c r="N116" s="184"/>
      <c r="O116" s="13"/>
      <c r="P116" s="185" t="s">
        <v>86</v>
      </c>
      <c r="Q116" s="185"/>
      <c r="R116" s="13"/>
    </row>
    <row r="117" spans="2:21" s="11" customFormat="1" x14ac:dyDescent="0.25"/>
    <row r="118" spans="2:21" s="11" customFormat="1" x14ac:dyDescent="0.25"/>
    <row r="119" spans="2:21" s="11" customFormat="1" ht="18.75" x14ac:dyDescent="0.3">
      <c r="Q119" s="12" t="s">
        <v>65</v>
      </c>
      <c r="R119" s="12"/>
      <c r="T119" s="13" t="s">
        <v>130</v>
      </c>
      <c r="U119" s="13"/>
    </row>
    <row r="120" spans="2:21" s="11" customFormat="1" ht="18.75" x14ac:dyDescent="0.3">
      <c r="Q120" s="12" t="s">
        <v>75</v>
      </c>
      <c r="T120" s="13" t="s">
        <v>129</v>
      </c>
      <c r="U120" s="13"/>
    </row>
    <row r="121" spans="2:21" s="11" customFormat="1" ht="18.75" x14ac:dyDescent="0.3">
      <c r="Q121" s="12" t="s">
        <v>77</v>
      </c>
    </row>
    <row r="122" spans="2:21" s="11" customFormat="1" ht="18" customHeight="1" x14ac:dyDescent="0.3">
      <c r="B122" s="186" t="s">
        <v>172</v>
      </c>
      <c r="C122" s="186"/>
      <c r="Q122" s="12" t="s">
        <v>78</v>
      </c>
    </row>
    <row r="123" spans="2:21" ht="0.75" hidden="1" customHeight="1" x14ac:dyDescent="0.25">
      <c r="B123" s="186"/>
      <c r="C123" s="186"/>
    </row>
    <row r="124" spans="2:21" hidden="1" x14ac:dyDescent="0.25">
      <c r="B124" s="186"/>
      <c r="C124" s="186"/>
    </row>
    <row r="125" spans="2:21" x14ac:dyDescent="0.25">
      <c r="B125" s="186"/>
      <c r="C125" s="186"/>
    </row>
    <row r="126" spans="2:21" ht="24.75" x14ac:dyDescent="0.25">
      <c r="B126" s="94" t="s">
        <v>173</v>
      </c>
      <c r="C126" s="9" t="s">
        <v>174</v>
      </c>
      <c r="D126" s="9"/>
      <c r="E126" s="9"/>
      <c r="F126" s="9" t="s">
        <v>175</v>
      </c>
      <c r="G126" s="9"/>
      <c r="H126" s="9"/>
      <c r="I126" s="9" t="s">
        <v>176</v>
      </c>
      <c r="J126" s="9"/>
      <c r="K126" s="9"/>
      <c r="L126" s="9" t="s">
        <v>177</v>
      </c>
      <c r="M126" s="9"/>
      <c r="N126" s="9"/>
    </row>
    <row r="127" spans="2:21" x14ac:dyDescent="0.25">
      <c r="B127" s="5">
        <v>40</v>
      </c>
      <c r="C127" s="2">
        <f>$K$42*(B127*21)</f>
        <v>4049.0369329846144</v>
      </c>
      <c r="F127" s="2">
        <f>(C127+$K$65)*0.05</f>
        <v>1159.2990955593639</v>
      </c>
      <c r="I127" s="2">
        <f>(C127+$K$65+F127)*6%</f>
        <v>1460.7168604047984</v>
      </c>
      <c r="L127" s="31">
        <f>(C127+$K$65+F127+I127)*14.25%</f>
        <v>3677.3546960690801</v>
      </c>
      <c r="M127" s="9"/>
      <c r="N127" s="9"/>
    </row>
    <row r="128" spans="2:21" x14ac:dyDescent="0.25">
      <c r="B128" s="5">
        <v>50</v>
      </c>
      <c r="C128" s="2">
        <f t="shared" ref="C128:C139" si="0">$K$42*(B128*21)</f>
        <v>5061.296166230768</v>
      </c>
      <c r="F128" s="2">
        <f t="shared" ref="F128:F139" si="1">(C128+$K$65)*0.05</f>
        <v>1209.9120572216716</v>
      </c>
      <c r="I128" s="2">
        <f t="shared" ref="I128:I139" si="2">(C128+$K$65+F128)*6%</f>
        <v>1524.4891920993061</v>
      </c>
      <c r="L128" s="31">
        <f t="shared" ref="L128:L139" si="3">(C128+$K$65+F128+I128)*14.25%</f>
        <v>3837.9015411100031</v>
      </c>
      <c r="M128" s="9"/>
      <c r="N128" s="9"/>
    </row>
    <row r="129" spans="2:14" x14ac:dyDescent="0.25">
      <c r="B129" s="5">
        <v>60</v>
      </c>
      <c r="C129" s="2">
        <f t="shared" si="0"/>
        <v>6073.5553994769216</v>
      </c>
      <c r="F129" s="2">
        <f t="shared" si="1"/>
        <v>1260.5250188839793</v>
      </c>
      <c r="I129" s="2">
        <f t="shared" si="2"/>
        <v>1588.2615237938137</v>
      </c>
      <c r="L129" s="31">
        <f t="shared" si="3"/>
        <v>3998.4483861509261</v>
      </c>
      <c r="M129" s="9"/>
      <c r="N129" s="9"/>
    </row>
    <row r="130" spans="2:14" x14ac:dyDescent="0.25">
      <c r="B130" s="5">
        <v>70</v>
      </c>
      <c r="C130" s="2">
        <f t="shared" si="0"/>
        <v>7085.8146327230752</v>
      </c>
      <c r="F130" s="2">
        <f t="shared" si="1"/>
        <v>1311.1379805462871</v>
      </c>
      <c r="I130" s="2">
        <f t="shared" si="2"/>
        <v>1652.0338554883215</v>
      </c>
      <c r="L130" s="31">
        <f t="shared" si="3"/>
        <v>4158.9952311918487</v>
      </c>
      <c r="M130" s="9"/>
      <c r="N130" s="9"/>
    </row>
    <row r="131" spans="2:14" x14ac:dyDescent="0.25">
      <c r="B131" s="5">
        <v>80</v>
      </c>
      <c r="C131" s="2">
        <f t="shared" si="0"/>
        <v>8098.0738659692288</v>
      </c>
      <c r="F131" s="2">
        <f t="shared" si="1"/>
        <v>1361.7509422085948</v>
      </c>
      <c r="I131" s="2">
        <f t="shared" si="2"/>
        <v>1715.806187182829</v>
      </c>
      <c r="L131" s="31">
        <f t="shared" si="3"/>
        <v>4319.5420762327722</v>
      </c>
      <c r="M131" s="9"/>
      <c r="N131" s="9"/>
    </row>
    <row r="132" spans="2:14" x14ac:dyDescent="0.25">
      <c r="B132" s="5">
        <v>90</v>
      </c>
      <c r="C132" s="2">
        <f t="shared" si="0"/>
        <v>9110.3330992153824</v>
      </c>
      <c r="F132" s="2">
        <f t="shared" si="1"/>
        <v>1412.3639038709025</v>
      </c>
      <c r="I132" s="2">
        <f t="shared" si="2"/>
        <v>1779.578518877337</v>
      </c>
      <c r="L132" s="31">
        <f t="shared" si="3"/>
        <v>4480.0889212736956</v>
      </c>
      <c r="M132" s="9"/>
      <c r="N132" s="9"/>
    </row>
    <row r="133" spans="2:14" x14ac:dyDescent="0.25">
      <c r="B133" s="5">
        <v>100</v>
      </c>
      <c r="C133" s="2">
        <f t="shared" si="0"/>
        <v>10122.592332461536</v>
      </c>
      <c r="F133" s="2">
        <f t="shared" si="1"/>
        <v>1462.97686553321</v>
      </c>
      <c r="I133" s="2">
        <f t="shared" si="2"/>
        <v>1843.3508505718444</v>
      </c>
      <c r="L133" s="31">
        <f t="shared" si="3"/>
        <v>4640.6357663146182</v>
      </c>
      <c r="M133" s="9"/>
      <c r="N133" s="9"/>
    </row>
    <row r="134" spans="2:14" x14ac:dyDescent="0.25">
      <c r="B134" s="5">
        <v>110</v>
      </c>
      <c r="C134" s="2">
        <f t="shared" si="0"/>
        <v>11134.85156570769</v>
      </c>
      <c r="F134" s="2">
        <f t="shared" si="1"/>
        <v>1513.5898271955177</v>
      </c>
      <c r="I134" s="2">
        <f t="shared" si="2"/>
        <v>1907.1231822663524</v>
      </c>
      <c r="L134" s="31">
        <f t="shared" si="3"/>
        <v>4801.1826113555417</v>
      </c>
      <c r="M134" s="9"/>
      <c r="N134" s="9"/>
    </row>
    <row r="135" spans="2:14" x14ac:dyDescent="0.25">
      <c r="B135" s="5">
        <v>120</v>
      </c>
      <c r="C135" s="2">
        <f t="shared" si="0"/>
        <v>12147.110798953843</v>
      </c>
      <c r="F135" s="2">
        <f t="shared" si="1"/>
        <v>1564.2027888578255</v>
      </c>
      <c r="I135" s="2">
        <f t="shared" si="2"/>
        <v>1970.8955139608597</v>
      </c>
      <c r="L135" s="31">
        <f t="shared" si="3"/>
        <v>4961.7294563964642</v>
      </c>
      <c r="M135" s="9"/>
      <c r="N135" s="9"/>
    </row>
    <row r="136" spans="2:14" x14ac:dyDescent="0.25">
      <c r="B136" s="5">
        <v>130</v>
      </c>
      <c r="C136" s="2">
        <f t="shared" si="0"/>
        <v>13159.370032199997</v>
      </c>
      <c r="F136" s="2">
        <f t="shared" si="1"/>
        <v>1614.8157505201332</v>
      </c>
      <c r="I136" s="2">
        <f t="shared" si="2"/>
        <v>2034.6678456553677</v>
      </c>
      <c r="L136" s="31">
        <f t="shared" si="3"/>
        <v>5122.2763014373886</v>
      </c>
      <c r="M136" s="9"/>
      <c r="N136" s="9"/>
    </row>
    <row r="137" spans="2:14" x14ac:dyDescent="0.25">
      <c r="B137" s="5">
        <v>140</v>
      </c>
      <c r="C137" s="2">
        <f t="shared" si="0"/>
        <v>14171.62926544615</v>
      </c>
      <c r="F137" s="2">
        <f t="shared" si="1"/>
        <v>1665.4287121824409</v>
      </c>
      <c r="I137" s="2">
        <f t="shared" si="2"/>
        <v>2098.4401773498753</v>
      </c>
      <c r="L137" s="31">
        <f t="shared" si="3"/>
        <v>5282.8231464783103</v>
      </c>
      <c r="M137" s="9"/>
      <c r="N137" s="9"/>
    </row>
    <row r="138" spans="2:14" x14ac:dyDescent="0.25">
      <c r="B138" s="5">
        <v>150</v>
      </c>
      <c r="C138" s="2">
        <f t="shared" si="0"/>
        <v>15183.888498692304</v>
      </c>
      <c r="F138" s="2">
        <f t="shared" si="1"/>
        <v>1716.0416738447486</v>
      </c>
      <c r="I138" s="2">
        <f t="shared" si="2"/>
        <v>2162.2125090443828</v>
      </c>
      <c r="L138" s="31">
        <f t="shared" si="3"/>
        <v>5443.3699915192337</v>
      </c>
      <c r="M138" s="9"/>
      <c r="N138" s="9"/>
    </row>
    <row r="139" spans="2:14" x14ac:dyDescent="0.25">
      <c r="B139" s="5">
        <v>160</v>
      </c>
      <c r="C139" s="2">
        <f t="shared" si="0"/>
        <v>16196.147731938458</v>
      </c>
      <c r="F139" s="2">
        <f t="shared" si="1"/>
        <v>1766.6546355070561</v>
      </c>
      <c r="I139" s="2">
        <f t="shared" si="2"/>
        <v>2225.9848407388904</v>
      </c>
      <c r="L139" s="31">
        <f t="shared" si="3"/>
        <v>5603.9168365601563</v>
      </c>
      <c r="M139" s="9"/>
      <c r="N139" s="9"/>
    </row>
    <row r="140" spans="2:14" x14ac:dyDescent="0.25">
      <c r="B140" s="5"/>
    </row>
    <row r="143" spans="2:14" x14ac:dyDescent="0.25">
      <c r="B143" s="187" t="s">
        <v>178</v>
      </c>
      <c r="C143" s="187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</row>
    <row r="144" spans="2:14" x14ac:dyDescent="0.25">
      <c r="B144" s="187"/>
      <c r="C144" s="187"/>
    </row>
    <row r="145" spans="2:14" x14ac:dyDescent="0.25">
      <c r="B145" s="187"/>
      <c r="C145" s="187"/>
    </row>
    <row r="146" spans="2:14" x14ac:dyDescent="0.25">
      <c r="B146" s="187"/>
      <c r="C146" s="187"/>
    </row>
    <row r="147" spans="2:14" ht="24.75" x14ac:dyDescent="0.25">
      <c r="B147" s="94" t="s">
        <v>173</v>
      </c>
      <c r="C147" s="9" t="s">
        <v>174</v>
      </c>
      <c r="D147" s="9"/>
      <c r="E147" s="9"/>
      <c r="F147" s="9" t="s">
        <v>175</v>
      </c>
      <c r="G147" s="9"/>
      <c r="H147" s="9"/>
      <c r="I147" s="9" t="s">
        <v>176</v>
      </c>
      <c r="J147" s="9"/>
      <c r="K147" s="9"/>
      <c r="L147" s="9" t="s">
        <v>177</v>
      </c>
      <c r="M147" s="9"/>
      <c r="N147" s="9"/>
    </row>
    <row r="148" spans="2:14" x14ac:dyDescent="0.25">
      <c r="B148" s="5">
        <v>40</v>
      </c>
      <c r="C148" s="2">
        <f>($K$42*(B148*21))*1.154</f>
        <v>4672.5886206642444</v>
      </c>
      <c r="F148" s="2">
        <f>(C148+$K$65)*0.05</f>
        <v>1190.4766799433455</v>
      </c>
      <c r="I148" s="2">
        <f>(C148+$K$65+F148)*6%</f>
        <v>1500.0006167286153</v>
      </c>
      <c r="L148" s="31">
        <f>(C148+$K$65+F148+I148)*14.25%</f>
        <v>3776.2515526142888</v>
      </c>
      <c r="M148" s="9"/>
      <c r="N148" s="9"/>
    </row>
    <row r="149" spans="2:14" x14ac:dyDescent="0.25">
      <c r="B149" s="5">
        <v>50</v>
      </c>
      <c r="C149" s="2">
        <f t="shared" ref="C149:C160" si="4">($K$42*(B149*21))*1.154</f>
        <v>5840.735775830306</v>
      </c>
      <c r="F149" s="2">
        <f t="shared" ref="F149:F160" si="5">(C149+$K$65)*0.05</f>
        <v>1248.8840377016486</v>
      </c>
      <c r="I149" s="2">
        <f t="shared" ref="I149:I160" si="6">(C149+$K$65+F149)*6%</f>
        <v>1573.593887504077</v>
      </c>
      <c r="L149" s="31">
        <f t="shared" ref="L149:L160" si="7">(C149+$K$65+F149+I149)*14.25%</f>
        <v>3961.5226117915136</v>
      </c>
      <c r="M149" s="9"/>
      <c r="N149" s="9"/>
    </row>
    <row r="150" spans="2:14" x14ac:dyDescent="0.25">
      <c r="B150" s="5">
        <v>60</v>
      </c>
      <c r="C150" s="2">
        <f t="shared" si="4"/>
        <v>7008.8829309963667</v>
      </c>
      <c r="F150" s="2">
        <f t="shared" si="5"/>
        <v>1307.2913954599517</v>
      </c>
      <c r="I150" s="2">
        <f t="shared" si="6"/>
        <v>1647.1871582795388</v>
      </c>
      <c r="L150" s="31">
        <f t="shared" si="7"/>
        <v>4146.7936709687392</v>
      </c>
      <c r="M150" s="9"/>
      <c r="N150" s="9"/>
    </row>
    <row r="151" spans="2:14" x14ac:dyDescent="0.25">
      <c r="B151" s="5">
        <v>70</v>
      </c>
      <c r="C151" s="2">
        <f t="shared" si="4"/>
        <v>8177.0300861624282</v>
      </c>
      <c r="F151" s="2">
        <f t="shared" si="5"/>
        <v>1365.6987532182548</v>
      </c>
      <c r="I151" s="2">
        <f t="shared" si="6"/>
        <v>1720.7804290550007</v>
      </c>
      <c r="L151" s="31">
        <f t="shared" si="7"/>
        <v>4332.0647301459639</v>
      </c>
      <c r="M151" s="9"/>
      <c r="N151" s="9"/>
    </row>
    <row r="152" spans="2:14" x14ac:dyDescent="0.25">
      <c r="B152" s="5">
        <v>80</v>
      </c>
      <c r="C152" s="2">
        <f t="shared" si="4"/>
        <v>9345.1772413284889</v>
      </c>
      <c r="F152" s="2">
        <f t="shared" si="5"/>
        <v>1424.1061109765578</v>
      </c>
      <c r="I152" s="2">
        <f t="shared" si="6"/>
        <v>1794.3736998304626</v>
      </c>
      <c r="L152" s="31">
        <f t="shared" si="7"/>
        <v>4517.3357893231896</v>
      </c>
      <c r="M152" s="9"/>
      <c r="N152" s="9"/>
    </row>
    <row r="153" spans="2:14" x14ac:dyDescent="0.25">
      <c r="B153" s="5">
        <v>90</v>
      </c>
      <c r="C153" s="2">
        <f t="shared" si="4"/>
        <v>10513.32439649455</v>
      </c>
      <c r="F153" s="2">
        <f t="shared" si="5"/>
        <v>1482.5134687348609</v>
      </c>
      <c r="I153" s="2">
        <f t="shared" si="6"/>
        <v>1867.9669706059244</v>
      </c>
      <c r="L153" s="31">
        <f t="shared" si="7"/>
        <v>4702.6068485004143</v>
      </c>
      <c r="M153" s="9"/>
      <c r="N153" s="9"/>
    </row>
    <row r="154" spans="2:14" x14ac:dyDescent="0.25">
      <c r="B154" s="5">
        <v>100</v>
      </c>
      <c r="C154" s="2">
        <f t="shared" si="4"/>
        <v>11681.471551660612</v>
      </c>
      <c r="F154" s="2">
        <f t="shared" si="5"/>
        <v>1540.920826493164</v>
      </c>
      <c r="I154" s="2">
        <f t="shared" si="6"/>
        <v>1941.5602413813863</v>
      </c>
      <c r="L154" s="31">
        <f t="shared" si="7"/>
        <v>4887.8779076776391</v>
      </c>
      <c r="M154" s="9"/>
      <c r="N154" s="9"/>
    </row>
    <row r="155" spans="2:14" x14ac:dyDescent="0.25">
      <c r="B155" s="5">
        <v>110</v>
      </c>
      <c r="C155" s="2">
        <f t="shared" si="4"/>
        <v>12849.618706826674</v>
      </c>
      <c r="F155" s="2">
        <f t="shared" si="5"/>
        <v>1599.3281842514671</v>
      </c>
      <c r="I155" s="2">
        <f t="shared" si="6"/>
        <v>2015.1535121568484</v>
      </c>
      <c r="L155" s="31">
        <f t="shared" si="7"/>
        <v>5073.1489668548647</v>
      </c>
      <c r="M155" s="9"/>
      <c r="N155" s="9"/>
    </row>
    <row r="156" spans="2:14" x14ac:dyDescent="0.25">
      <c r="B156" s="5">
        <v>120</v>
      </c>
      <c r="C156" s="2">
        <f t="shared" si="4"/>
        <v>14017.765861992733</v>
      </c>
      <c r="F156" s="2">
        <f t="shared" si="5"/>
        <v>1657.7355420097699</v>
      </c>
      <c r="I156" s="2">
        <f t="shared" si="6"/>
        <v>2088.7467829323095</v>
      </c>
      <c r="L156" s="31">
        <f t="shared" si="7"/>
        <v>5258.4200260320886</v>
      </c>
      <c r="M156" s="9"/>
      <c r="N156" s="9"/>
    </row>
    <row r="157" spans="2:14" x14ac:dyDescent="0.25">
      <c r="B157" s="5">
        <v>130</v>
      </c>
      <c r="C157" s="2">
        <f t="shared" si="4"/>
        <v>15185.913017158795</v>
      </c>
      <c r="F157" s="2">
        <f t="shared" si="5"/>
        <v>1716.1428997680732</v>
      </c>
      <c r="I157" s="2">
        <f t="shared" si="6"/>
        <v>2162.3400537077719</v>
      </c>
      <c r="L157" s="31">
        <f t="shared" si="7"/>
        <v>5443.6910852093151</v>
      </c>
      <c r="M157" s="9"/>
      <c r="N157" s="9"/>
    </row>
    <row r="158" spans="2:14" x14ac:dyDescent="0.25">
      <c r="B158" s="5">
        <v>140</v>
      </c>
      <c r="C158" s="2">
        <f t="shared" si="4"/>
        <v>16354.060172324856</v>
      </c>
      <c r="F158" s="2">
        <f t="shared" si="5"/>
        <v>1774.5502575263761</v>
      </c>
      <c r="I158" s="2">
        <f t="shared" si="6"/>
        <v>2235.9333244832337</v>
      </c>
      <c r="L158" s="31">
        <f t="shared" si="7"/>
        <v>5628.9621443865399</v>
      </c>
      <c r="M158" s="9"/>
      <c r="N158" s="9"/>
    </row>
    <row r="159" spans="2:14" x14ac:dyDescent="0.25">
      <c r="B159" s="5">
        <v>150</v>
      </c>
      <c r="C159" s="2">
        <f t="shared" si="4"/>
        <v>17522.207327490916</v>
      </c>
      <c r="F159" s="2">
        <f t="shared" si="5"/>
        <v>1832.9576152846794</v>
      </c>
      <c r="I159" s="2">
        <f t="shared" si="6"/>
        <v>2309.5265952586956</v>
      </c>
      <c r="L159" s="31">
        <f t="shared" si="7"/>
        <v>5814.2332035637655</v>
      </c>
      <c r="M159" s="9"/>
      <c r="N159" s="9"/>
    </row>
    <row r="160" spans="2:14" x14ac:dyDescent="0.25">
      <c r="B160" s="5">
        <v>160</v>
      </c>
      <c r="C160" s="2">
        <f t="shared" si="4"/>
        <v>18690.354482656978</v>
      </c>
      <c r="F160" s="2">
        <f t="shared" si="5"/>
        <v>1891.3649730429822</v>
      </c>
      <c r="I160" s="2">
        <f t="shared" si="6"/>
        <v>2383.1198660341574</v>
      </c>
      <c r="L160" s="31">
        <f t="shared" si="7"/>
        <v>5999.5042627409903</v>
      </c>
      <c r="M160" s="9"/>
      <c r="N160" s="9"/>
    </row>
  </sheetData>
  <mergeCells count="121">
    <mergeCell ref="B116:D116"/>
    <mergeCell ref="F116:G116"/>
    <mergeCell ref="L116:N116"/>
    <mergeCell ref="P116:Q116"/>
    <mergeCell ref="B122:C125"/>
    <mergeCell ref="B143:C146"/>
    <mergeCell ref="B113:D113"/>
    <mergeCell ref="L113:N113"/>
    <mergeCell ref="B114:D114"/>
    <mergeCell ref="L114:N114"/>
    <mergeCell ref="B115:C115"/>
    <mergeCell ref="L115:M115"/>
    <mergeCell ref="L109:M109"/>
    <mergeCell ref="P109:Q109"/>
    <mergeCell ref="F110:G110"/>
    <mergeCell ref="P110:Q110"/>
    <mergeCell ref="B112:D112"/>
    <mergeCell ref="F112:G112"/>
    <mergeCell ref="L112:N112"/>
    <mergeCell ref="P112:Q112"/>
    <mergeCell ref="B101:D101"/>
    <mergeCell ref="B102:D102"/>
    <mergeCell ref="B103:C103"/>
    <mergeCell ref="B104:D104"/>
    <mergeCell ref="F104:G104"/>
    <mergeCell ref="B109:C109"/>
    <mergeCell ref="F109:G109"/>
    <mergeCell ref="D95:E95"/>
    <mergeCell ref="B97:C97"/>
    <mergeCell ref="F97:G97"/>
    <mergeCell ref="F98:G98"/>
    <mergeCell ref="B100:D100"/>
    <mergeCell ref="F100:G100"/>
    <mergeCell ref="A79:J79"/>
    <mergeCell ref="A82:I82"/>
    <mergeCell ref="A84:H84"/>
    <mergeCell ref="A85:J85"/>
    <mergeCell ref="A89:J89"/>
    <mergeCell ref="A90:J90"/>
    <mergeCell ref="A74:E74"/>
    <mergeCell ref="A75:F75"/>
    <mergeCell ref="I75:J75"/>
    <mergeCell ref="I76:J76"/>
    <mergeCell ref="I77:J77"/>
    <mergeCell ref="I78:J78"/>
    <mergeCell ref="A65:J65"/>
    <mergeCell ref="A67:I67"/>
    <mergeCell ref="A69:E69"/>
    <mergeCell ref="I69:J69"/>
    <mergeCell ref="C70:F70"/>
    <mergeCell ref="C71:F71"/>
    <mergeCell ref="C54:F54"/>
    <mergeCell ref="C55:F55"/>
    <mergeCell ref="C58:F58"/>
    <mergeCell ref="C60:G60"/>
    <mergeCell ref="C62:E62"/>
    <mergeCell ref="C63:F63"/>
    <mergeCell ref="A49:E49"/>
    <mergeCell ref="H50:I50"/>
    <mergeCell ref="C51:F51"/>
    <mergeCell ref="H51:I51"/>
    <mergeCell ref="C52:F52"/>
    <mergeCell ref="C53:F53"/>
    <mergeCell ref="B41:D41"/>
    <mergeCell ref="F41:H41"/>
    <mergeCell ref="A42:E42"/>
    <mergeCell ref="A43:J43"/>
    <mergeCell ref="A45:J45"/>
    <mergeCell ref="A47:J47"/>
    <mergeCell ref="A36:E36"/>
    <mergeCell ref="B37:D37"/>
    <mergeCell ref="E37:F37"/>
    <mergeCell ref="B38:D38"/>
    <mergeCell ref="B39:D39"/>
    <mergeCell ref="B40:D40"/>
    <mergeCell ref="A28:D28"/>
    <mergeCell ref="E28:F28"/>
    <mergeCell ref="A31:F31"/>
    <mergeCell ref="A32:D32"/>
    <mergeCell ref="E32:F32"/>
    <mergeCell ref="A33:D33"/>
    <mergeCell ref="A25:D25"/>
    <mergeCell ref="E25:F25"/>
    <mergeCell ref="A26:D26"/>
    <mergeCell ref="E26:F26"/>
    <mergeCell ref="A27:D27"/>
    <mergeCell ref="E27:F27"/>
    <mergeCell ref="K18:N18"/>
    <mergeCell ref="A19:F19"/>
    <mergeCell ref="A20:F20"/>
    <mergeCell ref="A23:F23"/>
    <mergeCell ref="A24:D24"/>
    <mergeCell ref="E24:F24"/>
    <mergeCell ref="A16:D16"/>
    <mergeCell ref="E16:F16"/>
    <mergeCell ref="K16:N17"/>
    <mergeCell ref="H20:N21"/>
    <mergeCell ref="O16:O17"/>
    <mergeCell ref="P16:P17"/>
    <mergeCell ref="T17:V17"/>
    <mergeCell ref="A14:D14"/>
    <mergeCell ref="E14:F14"/>
    <mergeCell ref="K14:N15"/>
    <mergeCell ref="O14:O15"/>
    <mergeCell ref="P14:P15"/>
    <mergeCell ref="E15:F15"/>
    <mergeCell ref="A11:F11"/>
    <mergeCell ref="K11:N11"/>
    <mergeCell ref="A12:C12"/>
    <mergeCell ref="E12:F12"/>
    <mergeCell ref="K12:N12"/>
    <mergeCell ref="A13:D13"/>
    <mergeCell ref="E13:F13"/>
    <mergeCell ref="K13:N13"/>
    <mergeCell ref="C2:F6"/>
    <mergeCell ref="H3:P5"/>
    <mergeCell ref="F7:H7"/>
    <mergeCell ref="K7:N7"/>
    <mergeCell ref="B8:C8"/>
    <mergeCell ref="I9:P9"/>
    <mergeCell ref="A9:F9"/>
  </mergeCells>
  <conditionalFormatting sqref="P19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{6D779F70-5BA2-48A8-990F-F3343654BED4}</x14:id>
        </ext>
      </extLst>
    </cfRule>
  </conditionalFormatting>
  <dataValidations disablePrompts="1" count="3">
    <dataValidation type="list" allowBlank="1" showInputMessage="1" showErrorMessage="1" sqref="E15:F15">
      <formula1>"0,1,2,3,4,5,6,7,8,9,10,11,12,13,14,15"</formula1>
    </dataValidation>
    <dataValidation type="list" allowBlank="1" showInputMessage="1" showErrorMessage="1" sqref="L51">
      <formula1>"LINEAR, MÉTODO COLE"</formula1>
    </dataValidation>
    <dataValidation type="list" allowBlank="1" showInputMessage="1" showErrorMessage="1" sqref="F7:H7 T17:V17">
      <formula1>$Q$119:$Q$122</formula1>
    </dataValidation>
  </dataValidations>
  <pageMargins left="0.51181102362204722" right="0.51181102362204722" top="0.78740157480314965" bottom="0.78740157480314965" header="0.31496062992125984" footer="0.31496062992125984"/>
  <pageSetup paperSize="9" scale="50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D779F70-5BA2-48A8-990F-F3343654BED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P19</xm:sqref>
        </x14:conditionalFormatting>
      </x14:conditionalFormattings>
    </ext>
  </extLst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2:V160"/>
  <sheetViews>
    <sheetView tabSelected="1" view="pageBreakPreview" topLeftCell="A43" zoomScale="85" zoomScaleNormal="100" zoomScaleSheetLayoutView="85" workbookViewId="0">
      <selection activeCell="A57" sqref="A57"/>
    </sheetView>
  </sheetViews>
  <sheetFormatPr defaultColWidth="8.85546875" defaultRowHeight="15" x14ac:dyDescent="0.25"/>
  <cols>
    <col min="2" max="2" width="14.140625" customWidth="1"/>
    <col min="3" max="3" width="15.28515625" customWidth="1"/>
    <col min="5" max="5" width="12.42578125" customWidth="1"/>
    <col min="6" max="6" width="13.5703125" customWidth="1"/>
    <col min="7" max="7" width="12.140625" customWidth="1"/>
    <col min="9" max="9" width="10.7109375" customWidth="1"/>
    <col min="10" max="10" width="12.140625" bestFit="1" customWidth="1"/>
    <col min="11" max="11" width="16.42578125" bestFit="1" customWidth="1"/>
    <col min="12" max="12" width="14.42578125" customWidth="1"/>
    <col min="14" max="14" width="6.42578125" customWidth="1"/>
    <col min="15" max="15" width="9" customWidth="1"/>
    <col min="16" max="16" width="10.42578125" customWidth="1"/>
    <col min="17" max="17" width="15.140625" customWidth="1"/>
    <col min="18" max="18" width="14.7109375" bestFit="1" customWidth="1"/>
    <col min="19" max="19" width="19.42578125" bestFit="1" customWidth="1"/>
  </cols>
  <sheetData>
    <row r="2" spans="1:19" x14ac:dyDescent="0.25">
      <c r="C2" s="239" t="s">
        <v>151</v>
      </c>
      <c r="D2" s="240"/>
      <c r="E2" s="240"/>
      <c r="F2" s="240"/>
    </row>
    <row r="3" spans="1:19" x14ac:dyDescent="0.25">
      <c r="C3" s="240"/>
      <c r="D3" s="240"/>
      <c r="E3" s="240"/>
      <c r="F3" s="240"/>
      <c r="H3" s="241" t="s">
        <v>64</v>
      </c>
      <c r="I3" s="239"/>
      <c r="J3" s="239"/>
      <c r="K3" s="239"/>
      <c r="L3" s="239"/>
      <c r="M3" s="239"/>
      <c r="N3" s="239"/>
      <c r="O3" s="239"/>
      <c r="P3" s="239"/>
    </row>
    <row r="4" spans="1:19" x14ac:dyDescent="0.25">
      <c r="C4" s="240"/>
      <c r="D4" s="240"/>
      <c r="E4" s="240"/>
      <c r="F4" s="240"/>
      <c r="H4" s="239"/>
      <c r="I4" s="239"/>
      <c r="J4" s="239"/>
      <c r="K4" s="239"/>
      <c r="L4" s="239"/>
      <c r="M4" s="239"/>
      <c r="N4" s="239"/>
      <c r="O4" s="239"/>
      <c r="P4" s="239"/>
    </row>
    <row r="5" spans="1:19" x14ac:dyDescent="0.25">
      <c r="C5" s="240"/>
      <c r="D5" s="240"/>
      <c r="E5" s="240"/>
      <c r="F5" s="240"/>
      <c r="H5" s="239"/>
      <c r="I5" s="239"/>
      <c r="J5" s="239"/>
      <c r="K5" s="239"/>
      <c r="L5" s="239"/>
      <c r="M5" s="239"/>
      <c r="N5" s="239"/>
      <c r="O5" s="239"/>
      <c r="P5" s="239"/>
    </row>
    <row r="6" spans="1:19" x14ac:dyDescent="0.25">
      <c r="C6" s="240"/>
      <c r="D6" s="240"/>
      <c r="E6" s="240"/>
      <c r="F6" s="240"/>
    </row>
    <row r="7" spans="1:19" ht="21" x14ac:dyDescent="0.35">
      <c r="E7" s="18" t="s">
        <v>80</v>
      </c>
      <c r="F7" s="235" t="s">
        <v>65</v>
      </c>
      <c r="G7" s="235"/>
      <c r="H7" s="235"/>
      <c r="K7" s="242" t="s">
        <v>286</v>
      </c>
      <c r="L7" s="243"/>
      <c r="M7" s="243"/>
      <c r="N7" s="243"/>
    </row>
    <row r="8" spans="1:19" ht="15.75" x14ac:dyDescent="0.25">
      <c r="B8" s="194"/>
      <c r="C8" s="194"/>
      <c r="D8" s="145"/>
      <c r="E8" s="145"/>
      <c r="F8" s="145"/>
      <c r="J8" s="9"/>
    </row>
    <row r="9" spans="1:19" ht="21" x14ac:dyDescent="0.35">
      <c r="A9" s="235" t="s">
        <v>352</v>
      </c>
      <c r="B9" s="235"/>
      <c r="C9" s="235"/>
      <c r="D9" s="235"/>
      <c r="E9" s="235"/>
      <c r="F9" s="235"/>
      <c r="I9" s="244" t="s">
        <v>157</v>
      </c>
      <c r="J9" s="244"/>
      <c r="K9" s="244"/>
      <c r="L9" s="244"/>
      <c r="M9" s="244"/>
      <c r="N9" s="244"/>
      <c r="O9" s="244"/>
      <c r="P9" s="244"/>
      <c r="R9" s="9" t="s">
        <v>155</v>
      </c>
      <c r="S9" s="9" t="s">
        <v>156</v>
      </c>
    </row>
    <row r="10" spans="1:19" x14ac:dyDescent="0.25">
      <c r="R10" s="2">
        <f>K43</f>
        <v>3759.5307922762149</v>
      </c>
      <c r="S10" s="43">
        <f>K45</f>
        <v>4079.3034840586743</v>
      </c>
    </row>
    <row r="11" spans="1:19" ht="17.25" x14ac:dyDescent="0.3">
      <c r="A11" s="236" t="s">
        <v>150</v>
      </c>
      <c r="B11" s="237"/>
      <c r="C11" s="237"/>
      <c r="D11" s="237"/>
      <c r="E11" s="237"/>
      <c r="F11" s="238"/>
      <c r="G11" s="40" t="s">
        <v>0</v>
      </c>
      <c r="K11" s="206" t="s">
        <v>15</v>
      </c>
      <c r="L11" s="206"/>
      <c r="M11" s="206"/>
      <c r="N11" s="206"/>
      <c r="O11" s="161">
        <f>O12+O13</f>
        <v>72.14</v>
      </c>
      <c r="P11" s="47" t="s">
        <v>14</v>
      </c>
      <c r="R11" s="130">
        <f>K65/O18*O14</f>
        <v>9852.3168351877866</v>
      </c>
      <c r="S11" s="130">
        <f>K65/O18*O16</f>
        <v>9284.6281430148756</v>
      </c>
    </row>
    <row r="12" spans="1:19" ht="15.75" x14ac:dyDescent="0.25">
      <c r="A12" s="214" t="s">
        <v>107</v>
      </c>
      <c r="B12" s="215"/>
      <c r="C12" s="215"/>
      <c r="D12" s="48"/>
      <c r="E12" s="218">
        <f>Insumos!$B$4</f>
        <v>531068.38</v>
      </c>
      <c r="F12" s="218"/>
      <c r="G12" s="1"/>
      <c r="K12" s="206" t="s">
        <v>136</v>
      </c>
      <c r="L12" s="206"/>
      <c r="M12" s="206"/>
      <c r="N12" s="206"/>
      <c r="O12" s="151">
        <v>37.14</v>
      </c>
      <c r="P12" s="47" t="s">
        <v>14</v>
      </c>
      <c r="R12" s="2">
        <f>K72/O18*O14</f>
        <v>939.71774597409399</v>
      </c>
      <c r="S12" s="2">
        <f>K72/O18*O16</f>
        <v>885.57138150493495</v>
      </c>
    </row>
    <row r="13" spans="1:19" ht="15.75" x14ac:dyDescent="0.25">
      <c r="A13" s="214" t="s">
        <v>285</v>
      </c>
      <c r="B13" s="215"/>
      <c r="C13" s="215"/>
      <c r="D13" s="216"/>
      <c r="E13" s="198">
        <f>'DEPRECIAÇÃO LINEAR'!D15</f>
        <v>10</v>
      </c>
      <c r="F13" s="198"/>
      <c r="K13" s="206" t="s">
        <v>137</v>
      </c>
      <c r="L13" s="206"/>
      <c r="M13" s="206"/>
      <c r="N13" s="206"/>
      <c r="O13" s="151">
        <v>35</v>
      </c>
      <c r="P13" s="47" t="s">
        <v>14</v>
      </c>
      <c r="R13" s="2">
        <f>K79/O18*O14</f>
        <v>1404.0478716239174</v>
      </c>
      <c r="S13" s="2">
        <f>K79/O18*O16</f>
        <v>1323.146890329486</v>
      </c>
    </row>
    <row r="14" spans="1:19" ht="15" customHeight="1" x14ac:dyDescent="0.25">
      <c r="A14" s="214" t="s">
        <v>23</v>
      </c>
      <c r="B14" s="215"/>
      <c r="C14" s="215"/>
      <c r="D14" s="216"/>
      <c r="E14" s="219">
        <v>2026</v>
      </c>
      <c r="F14" s="220"/>
      <c r="K14" s="223" t="s">
        <v>138</v>
      </c>
      <c r="L14" s="223"/>
      <c r="M14" s="223"/>
      <c r="N14" s="223"/>
      <c r="O14" s="232">
        <f>O12*21</f>
        <v>779.94</v>
      </c>
      <c r="P14" s="234" t="s">
        <v>14</v>
      </c>
      <c r="R14" s="2">
        <f>SUM(R10:R13)</f>
        <v>15955.613245062013</v>
      </c>
      <c r="S14" s="2">
        <f>SUM(S10:S13)</f>
        <v>15572.649898907972</v>
      </c>
    </row>
    <row r="15" spans="1:19" ht="15.75" customHeight="1" x14ac:dyDescent="0.25">
      <c r="A15" s="49" t="s">
        <v>79</v>
      </c>
      <c r="B15" s="48"/>
      <c r="C15" s="48"/>
      <c r="D15" s="48"/>
      <c r="E15" s="198">
        <v>0</v>
      </c>
      <c r="F15" s="198"/>
      <c r="G15" s="41" t="s">
        <v>128</v>
      </c>
      <c r="I15" s="28"/>
      <c r="J15" s="28"/>
      <c r="K15" s="223"/>
      <c r="L15" s="223"/>
      <c r="M15" s="223"/>
      <c r="N15" s="223"/>
      <c r="O15" s="233"/>
      <c r="P15" s="234"/>
      <c r="R15" s="31">
        <f>IFERROR(R14/O14,0)</f>
        <v>20.457488069674607</v>
      </c>
      <c r="S15" s="31">
        <f>IFERROR(S14/O16,0)</f>
        <v>21.187278774024453</v>
      </c>
    </row>
    <row r="16" spans="1:19" ht="15" customHeight="1" x14ac:dyDescent="0.25">
      <c r="A16" s="214" t="s">
        <v>84</v>
      </c>
      <c r="B16" s="215"/>
      <c r="C16" s="215"/>
      <c r="D16" s="215"/>
      <c r="E16" s="198" t="str">
        <f>IF($F$7=$D$95,F104,IF($F$7=$D$107,F116,IF($F$7=$N$95,Q104,IF($F$7=$O$107,P116,""))))</f>
        <v>ATÉ 59 ALUNOS</v>
      </c>
      <c r="F16" s="198"/>
      <c r="I16" s="28"/>
      <c r="J16" s="28"/>
      <c r="K16" s="223" t="s">
        <v>139</v>
      </c>
      <c r="L16" s="223"/>
      <c r="M16" s="223"/>
      <c r="N16" s="223"/>
      <c r="O16" s="232">
        <f>O13*21</f>
        <v>735</v>
      </c>
      <c r="P16" s="234" t="s">
        <v>14</v>
      </c>
    </row>
    <row r="17" spans="1:22" ht="15" customHeight="1" x14ac:dyDescent="0.35">
      <c r="I17" s="28"/>
      <c r="J17" s="28"/>
      <c r="K17" s="223"/>
      <c r="L17" s="223"/>
      <c r="M17" s="223"/>
      <c r="N17" s="223"/>
      <c r="O17" s="233"/>
      <c r="P17" s="234"/>
      <c r="R17" s="2">
        <f>R14+S14</f>
        <v>31528.263143969984</v>
      </c>
      <c r="T17" s="235"/>
      <c r="U17" s="235"/>
      <c r="V17" s="235"/>
    </row>
    <row r="18" spans="1:22" ht="15" customHeight="1" x14ac:dyDescent="0.25">
      <c r="I18" s="28"/>
      <c r="J18" s="28"/>
      <c r="K18" s="223" t="s">
        <v>140</v>
      </c>
      <c r="L18" s="223"/>
      <c r="M18" s="223"/>
      <c r="N18" s="223"/>
      <c r="O18" s="46">
        <f>O16+O14</f>
        <v>1514.94</v>
      </c>
      <c r="P18" s="47" t="s">
        <v>14</v>
      </c>
      <c r="R18" s="2">
        <f>R17/O18</f>
        <v>20.811558968652211</v>
      </c>
    </row>
    <row r="19" spans="1:22" ht="15.75" customHeight="1" thickBot="1" x14ac:dyDescent="0.35">
      <c r="A19" s="224" t="s">
        <v>1</v>
      </c>
      <c r="B19" s="225"/>
      <c r="C19" s="225"/>
      <c r="D19" s="225"/>
      <c r="E19" s="225"/>
      <c r="F19" s="225"/>
      <c r="I19" s="29"/>
      <c r="J19" s="29"/>
      <c r="K19" s="29"/>
      <c r="L19" s="29"/>
      <c r="M19" s="29"/>
    </row>
    <row r="20" spans="1:22" ht="15" customHeight="1" x14ac:dyDescent="0.25">
      <c r="A20" s="206" t="s">
        <v>106</v>
      </c>
      <c r="B20" s="206"/>
      <c r="C20" s="206"/>
      <c r="D20" s="206"/>
      <c r="E20" s="206"/>
      <c r="F20" s="206"/>
      <c r="H20" s="279" t="s">
        <v>319</v>
      </c>
      <c r="I20" s="280"/>
      <c r="J20" s="280"/>
      <c r="K20" s="280"/>
      <c r="L20" s="280"/>
      <c r="M20" s="280"/>
      <c r="N20" s="281"/>
      <c r="O20" s="93">
        <f>K90</f>
        <v>20.811558968652211</v>
      </c>
      <c r="R20" s="93">
        <f>K90</f>
        <v>20.811558968652211</v>
      </c>
    </row>
    <row r="21" spans="1:22" ht="15.75" thickBot="1" x14ac:dyDescent="0.3">
      <c r="H21" s="282"/>
      <c r="I21" s="283"/>
      <c r="J21" s="283"/>
      <c r="K21" s="283"/>
      <c r="L21" s="283"/>
      <c r="M21" s="283"/>
      <c r="N21" s="284"/>
      <c r="O21" s="2"/>
    </row>
    <row r="23" spans="1:22" ht="17.25" x14ac:dyDescent="0.3">
      <c r="A23" s="224" t="s">
        <v>2</v>
      </c>
      <c r="B23" s="225"/>
      <c r="C23" s="225"/>
      <c r="D23" s="225"/>
      <c r="E23" s="225"/>
      <c r="F23" s="225"/>
      <c r="L23" s="2"/>
    </row>
    <row r="24" spans="1:22" ht="15.75" x14ac:dyDescent="0.25">
      <c r="A24" s="214" t="s">
        <v>11</v>
      </c>
      <c r="B24" s="215"/>
      <c r="C24" s="215"/>
      <c r="D24" s="215"/>
      <c r="E24" s="198">
        <f>IF($F$7=$D$95,F100,IF($F$7=$D$107,F112,IF($F$7=$N$95,Q100,IF($F$7=$O$107,P112,""))))</f>
        <v>6</v>
      </c>
      <c r="F24" s="198"/>
    </row>
    <row r="25" spans="1:22" ht="15.75" x14ac:dyDescent="0.25">
      <c r="A25" s="214" t="s">
        <v>9</v>
      </c>
      <c r="B25" s="215"/>
      <c r="C25" s="215"/>
      <c r="D25" s="216"/>
      <c r="E25" s="218">
        <f>Insumos!$B$5</f>
        <v>2453.2399999999998</v>
      </c>
      <c r="F25" s="218"/>
    </row>
    <row r="26" spans="1:22" ht="15.75" x14ac:dyDescent="0.25">
      <c r="A26" s="214" t="s">
        <v>147</v>
      </c>
      <c r="B26" s="215"/>
      <c r="C26" s="215"/>
      <c r="D26" s="216"/>
      <c r="E26" s="219">
        <v>2</v>
      </c>
      <c r="F26" s="220"/>
    </row>
    <row r="27" spans="1:22" ht="15.75" x14ac:dyDescent="0.25">
      <c r="A27" s="214" t="s">
        <v>148</v>
      </c>
      <c r="B27" s="215"/>
      <c r="C27" s="215"/>
      <c r="D27" s="216"/>
      <c r="E27" s="221">
        <f>Insumos!$B$6</f>
        <v>975.83</v>
      </c>
      <c r="F27" s="222"/>
    </row>
    <row r="28" spans="1:22" ht="15.75" x14ac:dyDescent="0.25">
      <c r="A28" s="214" t="s">
        <v>149</v>
      </c>
      <c r="B28" s="215"/>
      <c r="C28" s="215"/>
      <c r="D28" s="216"/>
      <c r="E28" s="217">
        <v>100000</v>
      </c>
      <c r="F28" s="217"/>
    </row>
    <row r="31" spans="1:22" ht="15.75" x14ac:dyDescent="0.25">
      <c r="A31" s="191" t="s">
        <v>3</v>
      </c>
      <c r="B31" s="192"/>
      <c r="C31" s="192"/>
      <c r="D31" s="192"/>
      <c r="E31" s="192"/>
      <c r="F31" s="192"/>
    </row>
    <row r="32" spans="1:22" ht="15.75" x14ac:dyDescent="0.25">
      <c r="A32" s="214" t="s">
        <v>19</v>
      </c>
      <c r="B32" s="215"/>
      <c r="C32" s="215"/>
      <c r="D32" s="216"/>
      <c r="E32" s="218">
        <f>Insumos!$B$7</f>
        <v>7.6</v>
      </c>
      <c r="F32" s="218"/>
    </row>
    <row r="33" spans="1:14" ht="15.75" x14ac:dyDescent="0.25">
      <c r="A33" s="214" t="s">
        <v>17</v>
      </c>
      <c r="B33" s="215"/>
      <c r="C33" s="215"/>
      <c r="D33" s="216"/>
      <c r="E33" s="46">
        <f>IF($F$7=$D$95,G103,IF($F$7=$D$107,G115,IF($F$7=$N$95,Q103,IF($F$7=$O$107,Q115,""))))</f>
        <v>2.6</v>
      </c>
      <c r="F33" s="50" t="s">
        <v>18</v>
      </c>
    </row>
    <row r="36" spans="1:14" ht="17.25" x14ac:dyDescent="0.3">
      <c r="A36" s="208" t="s">
        <v>20</v>
      </c>
      <c r="B36" s="209"/>
      <c r="C36" s="209"/>
      <c r="D36" s="209"/>
      <c r="E36" s="209"/>
    </row>
    <row r="37" spans="1:14" x14ac:dyDescent="0.25">
      <c r="B37" s="210"/>
      <c r="C37" s="210"/>
      <c r="D37" s="211"/>
      <c r="E37" s="212" t="s">
        <v>4</v>
      </c>
      <c r="F37" s="213"/>
    </row>
    <row r="38" spans="1:14" ht="15.75" x14ac:dyDescent="0.25">
      <c r="A38" s="46" t="s">
        <v>346</v>
      </c>
      <c r="B38" s="214" t="s">
        <v>52</v>
      </c>
      <c r="C38" s="215"/>
      <c r="D38" s="216"/>
      <c r="E38" s="46">
        <f>1/E33</f>
        <v>0.38461538461538458</v>
      </c>
      <c r="F38" s="7" t="s">
        <v>5</v>
      </c>
      <c r="G38" s="7"/>
      <c r="H38" s="7"/>
      <c r="I38" s="7"/>
      <c r="J38" s="7"/>
      <c r="K38" s="58">
        <f>E32*E38</f>
        <v>2.9230769230769225</v>
      </c>
      <c r="L38" s="51" t="s">
        <v>13</v>
      </c>
      <c r="N38" s="2"/>
    </row>
    <row r="39" spans="1:14" ht="15.75" x14ac:dyDescent="0.25">
      <c r="A39" s="46" t="s">
        <v>6</v>
      </c>
      <c r="B39" s="206" t="s">
        <v>152</v>
      </c>
      <c r="C39" s="206"/>
      <c r="D39" s="206"/>
      <c r="E39" s="46">
        <v>0.04</v>
      </c>
      <c r="F39" s="7" t="s">
        <v>5</v>
      </c>
      <c r="G39" s="7"/>
      <c r="H39" s="7"/>
      <c r="I39" s="7"/>
      <c r="J39" s="7"/>
      <c r="K39" s="58">
        <f>E39*E32</f>
        <v>0.30399999999999999</v>
      </c>
      <c r="L39" s="51" t="s">
        <v>13</v>
      </c>
    </row>
    <row r="40" spans="1:14" ht="15.75" x14ac:dyDescent="0.25">
      <c r="A40" s="46" t="s">
        <v>7</v>
      </c>
      <c r="B40" s="206" t="s">
        <v>8</v>
      </c>
      <c r="C40" s="206"/>
      <c r="D40" s="206"/>
      <c r="E40" s="46"/>
      <c r="F40" s="7"/>
      <c r="G40" s="7"/>
      <c r="H40" s="7"/>
      <c r="I40" s="7"/>
      <c r="J40" s="7"/>
      <c r="K40" s="58">
        <f>((E25*E24)+(E26*E24*E27))/E28</f>
        <v>0.26429400000000003</v>
      </c>
      <c r="L40" s="51" t="s">
        <v>13</v>
      </c>
    </row>
    <row r="41" spans="1:14" ht="15.75" x14ac:dyDescent="0.25">
      <c r="A41" s="46" t="s">
        <v>12</v>
      </c>
      <c r="B41" s="206" t="s">
        <v>153</v>
      </c>
      <c r="C41" s="206"/>
      <c r="D41" s="206"/>
      <c r="E41" s="70">
        <v>3.0000000000000001E-6</v>
      </c>
      <c r="F41" s="193" t="s">
        <v>10</v>
      </c>
      <c r="G41" s="193"/>
      <c r="H41" s="193"/>
      <c r="I41" s="7"/>
      <c r="J41" s="7"/>
      <c r="K41" s="58">
        <f>(E41*E12)-(K40)</f>
        <v>1.32891114</v>
      </c>
      <c r="L41" s="51" t="s">
        <v>13</v>
      </c>
    </row>
    <row r="42" spans="1:14" ht="15.75" x14ac:dyDescent="0.25">
      <c r="A42" s="207"/>
      <c r="B42" s="207"/>
      <c r="C42" s="207"/>
      <c r="D42" s="207"/>
      <c r="E42" s="207"/>
      <c r="F42" s="7"/>
      <c r="G42" s="7"/>
      <c r="H42" s="7"/>
      <c r="I42" s="7"/>
      <c r="J42" s="7"/>
      <c r="K42" s="58">
        <f>SUM(K38:K41)</f>
        <v>4.8202820630769221</v>
      </c>
      <c r="L42" s="51" t="s">
        <v>13</v>
      </c>
    </row>
    <row r="43" spans="1:14" ht="21" customHeight="1" x14ac:dyDescent="0.25">
      <c r="A43" s="200" t="s">
        <v>144</v>
      </c>
      <c r="B43" s="200"/>
      <c r="C43" s="200"/>
      <c r="D43" s="200"/>
      <c r="E43" s="200"/>
      <c r="F43" s="200"/>
      <c r="G43" s="200"/>
      <c r="H43" s="200"/>
      <c r="I43" s="200"/>
      <c r="J43" s="200"/>
      <c r="K43" s="68">
        <f>K42*O14</f>
        <v>3759.5307922762149</v>
      </c>
      <c r="L43" s="52" t="s">
        <v>16</v>
      </c>
    </row>
    <row r="45" spans="1:14" ht="18.75" x14ac:dyDescent="0.3">
      <c r="A45" s="190" t="s">
        <v>145</v>
      </c>
      <c r="B45" s="190"/>
      <c r="C45" s="190"/>
      <c r="D45" s="190"/>
      <c r="E45" s="190"/>
      <c r="F45" s="190"/>
      <c r="G45" s="190"/>
      <c r="H45" s="190"/>
      <c r="I45" s="190"/>
      <c r="J45" s="190"/>
      <c r="K45" s="65">
        <f>K42*O16*1.1514</f>
        <v>4079.3034840586743</v>
      </c>
      <c r="L45" s="53" t="s">
        <v>16</v>
      </c>
    </row>
    <row r="46" spans="1:14" ht="15.75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</row>
    <row r="47" spans="1:14" ht="18.75" x14ac:dyDescent="0.3">
      <c r="A47" s="190" t="s">
        <v>146</v>
      </c>
      <c r="B47" s="190"/>
      <c r="C47" s="190"/>
      <c r="D47" s="190"/>
      <c r="E47" s="190"/>
      <c r="F47" s="190"/>
      <c r="G47" s="190"/>
      <c r="H47" s="190"/>
      <c r="I47" s="190"/>
      <c r="J47" s="190"/>
      <c r="K47" s="65">
        <f>K43+K45</f>
        <v>7838.8342763348892</v>
      </c>
      <c r="L47" s="54" t="s">
        <v>16</v>
      </c>
    </row>
    <row r="49" spans="1:12" ht="15.75" x14ac:dyDescent="0.25">
      <c r="A49" s="197" t="s">
        <v>21</v>
      </c>
      <c r="B49" s="204"/>
      <c r="C49" s="204"/>
      <c r="D49" s="204"/>
      <c r="E49" s="204"/>
      <c r="F49" s="7"/>
      <c r="G49" s="7"/>
      <c r="H49" s="7"/>
      <c r="I49" s="7"/>
      <c r="J49" s="7"/>
      <c r="K49" s="7"/>
      <c r="L49" s="7"/>
    </row>
    <row r="50" spans="1:12" ht="15.75" x14ac:dyDescent="0.25">
      <c r="A50" s="3"/>
      <c r="B50" s="144"/>
      <c r="C50" s="144"/>
      <c r="D50" s="144"/>
      <c r="E50" s="144"/>
      <c r="F50" s="7"/>
      <c r="G50" s="7"/>
      <c r="H50" s="205" t="s">
        <v>25</v>
      </c>
      <c r="I50" s="205"/>
      <c r="J50" s="7"/>
      <c r="K50" s="7"/>
      <c r="L50" s="7"/>
    </row>
    <row r="51" spans="1:12" ht="15.75" x14ac:dyDescent="0.25">
      <c r="A51" s="7" t="s">
        <v>22</v>
      </c>
      <c r="B51" s="7"/>
      <c r="C51" s="193" t="s">
        <v>24</v>
      </c>
      <c r="D51" s="193"/>
      <c r="E51" s="193"/>
      <c r="F51" s="193"/>
      <c r="G51" s="7"/>
      <c r="H51" s="195"/>
      <c r="I51" s="195"/>
      <c r="J51" s="58"/>
      <c r="K51" s="59">
        <f>IF(L51="LINEAR",'DEPRECIAÇÃO LINEAR'!H23,(VLOOKUP(E15,'DEPRECIAÇÃO LINEAR'!W12:AM25,17,0)))</f>
        <v>3983.0128500000005</v>
      </c>
      <c r="L51" s="55" t="s">
        <v>130</v>
      </c>
    </row>
    <row r="52" spans="1:12" ht="15.75" x14ac:dyDescent="0.25">
      <c r="A52" s="7" t="s">
        <v>26</v>
      </c>
      <c r="B52" s="7"/>
      <c r="C52" s="193" t="s">
        <v>27</v>
      </c>
      <c r="D52" s="193"/>
      <c r="E52" s="193"/>
      <c r="F52" s="193"/>
      <c r="G52" s="7"/>
      <c r="H52" s="7"/>
      <c r="I52" s="7"/>
      <c r="J52" s="58"/>
      <c r="K52" s="58"/>
      <c r="L52" s="7"/>
    </row>
    <row r="53" spans="1:12" ht="15.75" x14ac:dyDescent="0.25">
      <c r="A53" s="7"/>
      <c r="B53" s="7" t="s">
        <v>31</v>
      </c>
      <c r="C53" s="193" t="s">
        <v>28</v>
      </c>
      <c r="D53" s="193"/>
      <c r="E53" s="193"/>
      <c r="F53" s="193"/>
      <c r="G53" s="7"/>
      <c r="H53" s="7"/>
      <c r="I53" s="7"/>
      <c r="J53" s="58"/>
      <c r="K53" s="58">
        <f>'Motorista de Veiculo Pesado'!E90</f>
        <v>8468.4608078400015</v>
      </c>
      <c r="L53" s="7"/>
    </row>
    <row r="54" spans="1:12" ht="15.75" x14ac:dyDescent="0.25">
      <c r="A54" s="7"/>
      <c r="B54" s="7" t="s">
        <v>32</v>
      </c>
      <c r="C54" s="193" t="s">
        <v>29</v>
      </c>
      <c r="D54" s="193"/>
      <c r="E54" s="193"/>
      <c r="F54" s="193"/>
      <c r="G54" s="7"/>
      <c r="H54" s="7"/>
      <c r="I54" s="7"/>
      <c r="J54" s="58"/>
      <c r="K54" s="58">
        <f>'Monitor de Transporte Escolar'!E90</f>
        <v>4485.726463695999</v>
      </c>
      <c r="L54" s="7"/>
    </row>
    <row r="55" spans="1:12" ht="15.75" x14ac:dyDescent="0.25">
      <c r="A55" s="7" t="s">
        <v>30</v>
      </c>
      <c r="B55" s="7"/>
      <c r="C55" s="193" t="s">
        <v>34</v>
      </c>
      <c r="D55" s="193"/>
      <c r="E55" s="193"/>
      <c r="F55" s="193"/>
      <c r="G55" s="7"/>
      <c r="H55" s="7"/>
      <c r="I55" s="7"/>
      <c r="J55" s="58"/>
      <c r="K55" s="58"/>
      <c r="L55" s="146"/>
    </row>
    <row r="56" spans="1:12" ht="15.75" x14ac:dyDescent="0.25">
      <c r="A56" s="7"/>
      <c r="B56" s="7" t="s">
        <v>33</v>
      </c>
      <c r="C56" s="7" t="s">
        <v>35</v>
      </c>
      <c r="D56" s="7"/>
      <c r="E56" s="7"/>
      <c r="F56" s="7"/>
      <c r="G56" s="7"/>
      <c r="H56" s="7"/>
      <c r="I56" s="7"/>
      <c r="J56" s="58">
        <f>1/100*E12</f>
        <v>5310.6837999999998</v>
      </c>
      <c r="K56" s="58">
        <f>J56/12</f>
        <v>442.55698333333333</v>
      </c>
      <c r="L56" s="7"/>
    </row>
    <row r="57" spans="1:12" ht="15.75" x14ac:dyDescent="0.25">
      <c r="A57" s="7"/>
      <c r="B57" s="7" t="s">
        <v>36</v>
      </c>
      <c r="C57" s="7" t="s">
        <v>37</v>
      </c>
      <c r="D57" s="7"/>
      <c r="E57" s="7"/>
      <c r="F57" s="7"/>
      <c r="G57" s="7"/>
      <c r="H57" s="7"/>
      <c r="I57" s="7"/>
      <c r="J57" s="58">
        <v>230.25</v>
      </c>
      <c r="K57" s="58">
        <f>J57/12</f>
        <v>19.1875</v>
      </c>
      <c r="L57" s="7"/>
    </row>
    <row r="58" spans="1:12" ht="15.75" x14ac:dyDescent="0.25">
      <c r="A58" s="7"/>
      <c r="B58" s="7" t="s">
        <v>38</v>
      </c>
      <c r="C58" s="193" t="s">
        <v>39</v>
      </c>
      <c r="D58" s="193"/>
      <c r="E58" s="193"/>
      <c r="F58" s="193"/>
      <c r="G58" s="7"/>
      <c r="H58" s="7"/>
      <c r="I58" s="7"/>
      <c r="J58" s="58">
        <v>161.80000000000001</v>
      </c>
      <c r="K58" s="58">
        <f>J58/12</f>
        <v>13.483333333333334</v>
      </c>
      <c r="L58" s="7"/>
    </row>
    <row r="59" spans="1:12" ht="15.75" x14ac:dyDescent="0.25">
      <c r="A59" s="7" t="s">
        <v>41</v>
      </c>
      <c r="B59" s="7"/>
      <c r="C59" s="7" t="s">
        <v>40</v>
      </c>
      <c r="D59" s="7"/>
      <c r="E59" s="7"/>
      <c r="F59" s="7"/>
      <c r="G59" s="7"/>
      <c r="H59" s="7"/>
      <c r="I59" s="7"/>
      <c r="J59" s="58">
        <v>0</v>
      </c>
      <c r="K59" s="58">
        <f>J59/12</f>
        <v>0</v>
      </c>
      <c r="L59" s="7"/>
    </row>
    <row r="60" spans="1:12" ht="15.75" x14ac:dyDescent="0.25">
      <c r="A60" s="7" t="s">
        <v>57</v>
      </c>
      <c r="B60" s="7"/>
      <c r="C60" s="193" t="s">
        <v>58</v>
      </c>
      <c r="D60" s="193"/>
      <c r="E60" s="193"/>
      <c r="F60" s="193"/>
      <c r="G60" s="193"/>
      <c r="H60" s="7"/>
      <c r="I60" s="7"/>
      <c r="J60" s="58">
        <f>Insumos!$B$8</f>
        <v>350.88</v>
      </c>
      <c r="K60" s="58">
        <f>4*J60</f>
        <v>1403.52</v>
      </c>
      <c r="L60" s="7"/>
    </row>
    <row r="61" spans="1:12" ht="15.75" x14ac:dyDescent="0.25">
      <c r="A61" s="7" t="s">
        <v>60</v>
      </c>
      <c r="B61" s="7"/>
      <c r="C61" s="144" t="s">
        <v>63</v>
      </c>
      <c r="D61" s="144"/>
      <c r="E61" s="144"/>
      <c r="F61" s="144"/>
      <c r="G61" s="144"/>
      <c r="H61" s="7"/>
      <c r="I61" s="7"/>
      <c r="J61" s="58">
        <f>Insumos!$B$9</f>
        <v>2680.95</v>
      </c>
      <c r="K61" s="58">
        <f>J61/12</f>
        <v>223.41249999999999</v>
      </c>
      <c r="L61" s="7"/>
    </row>
    <row r="62" spans="1:12" ht="15.75" x14ac:dyDescent="0.25">
      <c r="A62" s="7" t="s">
        <v>61</v>
      </c>
      <c r="B62" s="7"/>
      <c r="C62" s="193" t="s">
        <v>62</v>
      </c>
      <c r="D62" s="193"/>
      <c r="E62" s="193"/>
      <c r="F62" s="144"/>
      <c r="G62" s="144"/>
      <c r="H62" s="7"/>
      <c r="I62" s="7"/>
      <c r="J62" s="60">
        <f>Insumos!$B$10</f>
        <v>932.23</v>
      </c>
      <c r="K62" s="58">
        <f>J62/12</f>
        <v>77.685833333333335</v>
      </c>
      <c r="L62" s="7"/>
    </row>
    <row r="63" spans="1:12" ht="15.75" x14ac:dyDescent="0.25">
      <c r="A63" s="7" t="s">
        <v>142</v>
      </c>
      <c r="B63" s="7"/>
      <c r="C63" s="203" t="s">
        <v>143</v>
      </c>
      <c r="D63" s="203"/>
      <c r="E63" s="203"/>
      <c r="F63" s="203"/>
      <c r="G63" s="164"/>
      <c r="H63" s="7"/>
      <c r="I63" s="7"/>
      <c r="J63" s="60">
        <f>Insumos!$B$11</f>
        <v>471.82</v>
      </c>
      <c r="K63" s="72">
        <f>J63/24</f>
        <v>19.659166666666668</v>
      </c>
      <c r="L63" s="7"/>
    </row>
    <row r="64" spans="1:12" ht="15.75" x14ac:dyDescent="0.25">
      <c r="A64" s="7" t="s">
        <v>340</v>
      </c>
      <c r="B64" s="7"/>
      <c r="C64" s="165" t="s">
        <v>343</v>
      </c>
      <c r="D64" s="165"/>
      <c r="E64" s="165"/>
      <c r="F64" s="165"/>
      <c r="G64" s="164"/>
      <c r="H64" s="7"/>
      <c r="I64" s="7"/>
      <c r="J64" s="60">
        <f>Insumos!$B$12</f>
        <v>14.372399999999997</v>
      </c>
      <c r="K64" s="72">
        <f>J64/60</f>
        <v>0.23953999999999995</v>
      </c>
      <c r="L64" s="7"/>
    </row>
    <row r="65" spans="1:13" ht="20.25" customHeight="1" x14ac:dyDescent="0.25">
      <c r="A65" s="259" t="s">
        <v>43</v>
      </c>
      <c r="B65" s="260"/>
      <c r="C65" s="260"/>
      <c r="D65" s="260"/>
      <c r="E65" s="260"/>
      <c r="F65" s="260"/>
      <c r="G65" s="260"/>
      <c r="H65" s="260"/>
      <c r="I65" s="260"/>
      <c r="J65" s="261"/>
      <c r="K65" s="67">
        <f>SUM(K51:K64)</f>
        <v>19136.944978202664</v>
      </c>
      <c r="L65" s="57" t="s">
        <v>16</v>
      </c>
      <c r="M65" s="4"/>
    </row>
    <row r="67" spans="1:13" ht="19.5" customHeight="1" x14ac:dyDescent="0.3">
      <c r="A67" s="262" t="s">
        <v>132</v>
      </c>
      <c r="B67" s="263"/>
      <c r="C67" s="263"/>
      <c r="D67" s="263"/>
      <c r="E67" s="263"/>
      <c r="F67" s="263"/>
      <c r="G67" s="263"/>
      <c r="H67" s="263"/>
      <c r="I67" s="264"/>
      <c r="K67" s="66">
        <f>K47+K65</f>
        <v>26975.779254537552</v>
      </c>
    </row>
    <row r="69" spans="1:13" ht="15.75" x14ac:dyDescent="0.25">
      <c r="A69" s="254" t="s">
        <v>133</v>
      </c>
      <c r="B69" s="255"/>
      <c r="C69" s="255"/>
      <c r="D69" s="255"/>
      <c r="E69" s="256"/>
      <c r="I69" s="265" t="s">
        <v>55</v>
      </c>
      <c r="J69" s="266"/>
    </row>
    <row r="70" spans="1:13" ht="15.75" x14ac:dyDescent="0.25">
      <c r="A70" s="7" t="s">
        <v>341</v>
      </c>
      <c r="B70" s="7"/>
      <c r="C70" s="193" t="s">
        <v>54</v>
      </c>
      <c r="D70" s="193"/>
      <c r="E70" s="193"/>
      <c r="F70" s="193"/>
      <c r="G70" s="7"/>
      <c r="H70" s="7"/>
      <c r="I70" s="168">
        <f>Insumos!$B$15</f>
        <v>2.6599999999999999E-2</v>
      </c>
      <c r="J70" s="7"/>
      <c r="K70" s="58">
        <f>I70*K67</f>
        <v>717.5557281706989</v>
      </c>
      <c r="L70" s="7"/>
    </row>
    <row r="71" spans="1:13" ht="15.75" x14ac:dyDescent="0.25">
      <c r="A71" s="7" t="s">
        <v>342</v>
      </c>
      <c r="B71" s="7"/>
      <c r="C71" s="193" t="s">
        <v>59</v>
      </c>
      <c r="D71" s="193"/>
      <c r="E71" s="193"/>
      <c r="F71" s="193"/>
      <c r="G71" s="7"/>
      <c r="H71" s="7"/>
      <c r="I71" s="169">
        <f>Insumos!$B$16</f>
        <v>0.04</v>
      </c>
      <c r="J71" s="7"/>
      <c r="K71" s="58">
        <f>I71*(K67+K70)</f>
        <v>1107.73339930833</v>
      </c>
      <c r="L71" s="7"/>
    </row>
    <row r="72" spans="1:13" ht="18.75" x14ac:dyDescent="0.3">
      <c r="A72" s="7"/>
      <c r="B72" s="7"/>
      <c r="C72" s="7"/>
      <c r="D72" s="7"/>
      <c r="E72" s="7"/>
      <c r="F72" s="7"/>
      <c r="G72" s="7"/>
      <c r="H72" s="7"/>
      <c r="I72" s="7"/>
      <c r="J72" s="61" t="s">
        <v>131</v>
      </c>
      <c r="K72" s="65">
        <f>SUM(K70:K71)</f>
        <v>1825.289127479029</v>
      </c>
      <c r="L72" s="54" t="s">
        <v>16</v>
      </c>
    </row>
    <row r="74" spans="1:13" ht="15.75" x14ac:dyDescent="0.25">
      <c r="A74" s="254" t="s">
        <v>134</v>
      </c>
      <c r="B74" s="255"/>
      <c r="C74" s="255"/>
      <c r="D74" s="255"/>
      <c r="E74" s="256"/>
      <c r="F74" s="7"/>
      <c r="G74" s="7"/>
      <c r="H74" s="7"/>
      <c r="I74" s="7"/>
      <c r="J74" s="7"/>
      <c r="K74" s="7"/>
      <c r="L74" s="7"/>
    </row>
    <row r="75" spans="1:13" ht="15.75" x14ac:dyDescent="0.25">
      <c r="A75" s="193" t="s">
        <v>42</v>
      </c>
      <c r="B75" s="193"/>
      <c r="C75" s="193"/>
      <c r="D75" s="193"/>
      <c r="E75" s="193"/>
      <c r="F75" s="193"/>
      <c r="G75" s="7"/>
      <c r="H75" s="7"/>
      <c r="I75" s="219" t="s">
        <v>47</v>
      </c>
      <c r="J75" s="220"/>
      <c r="K75" s="51">
        <f>K67+K72</f>
        <v>28801.06838201658</v>
      </c>
      <c r="L75" s="7"/>
    </row>
    <row r="76" spans="1:13" ht="15.75" x14ac:dyDescent="0.25">
      <c r="A76" s="7" t="s">
        <v>53</v>
      </c>
      <c r="C76" s="7" t="s">
        <v>44</v>
      </c>
      <c r="D76" s="7"/>
      <c r="E76" s="7"/>
      <c r="F76" s="7"/>
      <c r="G76" s="7"/>
      <c r="H76" s="7"/>
      <c r="I76" s="257">
        <f>Insumos!$B$18</f>
        <v>0.05</v>
      </c>
      <c r="J76" s="258"/>
      <c r="K76" s="51">
        <f>$K$75/(1-(SUM($I$76:$J$78)))*I76</f>
        <v>1576.4131571984992</v>
      </c>
      <c r="L76" s="7"/>
    </row>
    <row r="77" spans="1:13" ht="15.75" x14ac:dyDescent="0.25">
      <c r="A77" s="7" t="s">
        <v>344</v>
      </c>
      <c r="C77" s="7" t="s">
        <v>45</v>
      </c>
      <c r="D77" s="7"/>
      <c r="E77" s="7"/>
      <c r="F77" s="7"/>
      <c r="G77" s="7"/>
      <c r="H77" s="7"/>
      <c r="I77" s="257">
        <f>Insumos!$B$19</f>
        <v>6.4999999999999997E-3</v>
      </c>
      <c r="J77" s="258"/>
      <c r="K77" s="51">
        <f>$K$75/(1-(SUM($I$76:$J$78)))*I77</f>
        <v>204.9337104358049</v>
      </c>
      <c r="L77" s="7"/>
    </row>
    <row r="78" spans="1:13" ht="15.75" x14ac:dyDescent="0.25">
      <c r="A78" s="7" t="s">
        <v>345</v>
      </c>
      <c r="C78" s="7" t="s">
        <v>46</v>
      </c>
      <c r="D78" s="7"/>
      <c r="E78" s="7"/>
      <c r="F78" s="7"/>
      <c r="G78" s="7"/>
      <c r="H78" s="7"/>
      <c r="I78" s="257">
        <f>Insumos!$B$20</f>
        <v>0.03</v>
      </c>
      <c r="J78" s="258"/>
      <c r="K78" s="51">
        <f>$K$75/(1-(SUM($I$76:$J$78)))*I78</f>
        <v>945.84789431909951</v>
      </c>
      <c r="L78" s="7"/>
    </row>
    <row r="79" spans="1:13" ht="21" customHeight="1" x14ac:dyDescent="0.3">
      <c r="A79" s="251" t="s">
        <v>48</v>
      </c>
      <c r="B79" s="252"/>
      <c r="C79" s="252"/>
      <c r="D79" s="252"/>
      <c r="E79" s="252"/>
      <c r="F79" s="252"/>
      <c r="G79" s="252"/>
      <c r="H79" s="252"/>
      <c r="I79" s="252"/>
      <c r="J79" s="253"/>
      <c r="K79" s="64">
        <f>SUM(K76:K78)</f>
        <v>2727.1947619534035</v>
      </c>
      <c r="L79" s="54" t="s">
        <v>16</v>
      </c>
    </row>
    <row r="81" spans="1:20" x14ac:dyDescent="0.25">
      <c r="C81" s="5"/>
      <c r="D81" s="5"/>
      <c r="E81" s="5"/>
      <c r="F81" s="5"/>
      <c r="K81" s="2"/>
    </row>
    <row r="82" spans="1:20" ht="15.75" x14ac:dyDescent="0.25">
      <c r="A82" s="191" t="s">
        <v>56</v>
      </c>
      <c r="B82" s="191"/>
      <c r="C82" s="191"/>
      <c r="D82" s="191"/>
      <c r="E82" s="191"/>
      <c r="F82" s="191"/>
      <c r="G82" s="191"/>
      <c r="H82" s="191"/>
      <c r="I82" s="191"/>
      <c r="T82" s="43"/>
    </row>
    <row r="83" spans="1:20" ht="15.75" x14ac:dyDescent="0.25">
      <c r="A83" s="143"/>
      <c r="B83" s="143"/>
      <c r="C83" s="143"/>
      <c r="D83" s="143"/>
      <c r="E83" s="143"/>
      <c r="F83" s="143"/>
      <c r="G83" s="143"/>
      <c r="H83" s="143"/>
      <c r="I83" s="143"/>
    </row>
    <row r="84" spans="1:20" ht="15.75" x14ac:dyDescent="0.25">
      <c r="A84" s="191" t="s">
        <v>51</v>
      </c>
      <c r="B84" s="192"/>
      <c r="C84" s="192"/>
      <c r="D84" s="192"/>
      <c r="E84" s="192"/>
      <c r="F84" s="192"/>
      <c r="G84" s="192"/>
      <c r="H84" s="192"/>
    </row>
    <row r="85" spans="1:20" ht="20.25" customHeight="1" x14ac:dyDescent="0.3">
      <c r="A85" s="193" t="s">
        <v>135</v>
      </c>
      <c r="B85" s="193"/>
      <c r="C85" s="193"/>
      <c r="D85" s="193"/>
      <c r="E85" s="193"/>
      <c r="F85" s="193"/>
      <c r="G85" s="193"/>
      <c r="H85" s="193"/>
      <c r="I85" s="193"/>
      <c r="J85" s="193"/>
      <c r="K85" s="62">
        <f>K67+K72+K79</f>
        <v>31528.263143969984</v>
      </c>
    </row>
    <row r="86" spans="1:20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2"/>
    </row>
    <row r="87" spans="1:20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2"/>
      <c r="P87" s="42"/>
    </row>
    <row r="88" spans="1:20" ht="8.25" customHeight="1" x14ac:dyDescent="0.25"/>
    <row r="89" spans="1:20" ht="16.5" customHeight="1" x14ac:dyDescent="0.25">
      <c r="A89" s="194" t="s">
        <v>49</v>
      </c>
      <c r="B89" s="195"/>
      <c r="C89" s="195"/>
      <c r="D89" s="195"/>
      <c r="E89" s="195"/>
      <c r="F89" s="195"/>
      <c r="G89" s="195"/>
      <c r="H89" s="195"/>
      <c r="I89" s="195"/>
      <c r="J89" s="195"/>
      <c r="K89" s="7"/>
      <c r="L89" s="7"/>
    </row>
    <row r="90" spans="1:20" ht="24.75" customHeight="1" x14ac:dyDescent="0.3">
      <c r="A90" s="196" t="s">
        <v>141</v>
      </c>
      <c r="B90" s="196"/>
      <c r="C90" s="196"/>
      <c r="D90" s="196"/>
      <c r="E90" s="196"/>
      <c r="F90" s="196"/>
      <c r="G90" s="196"/>
      <c r="H90" s="196"/>
      <c r="I90" s="196"/>
      <c r="J90" s="196"/>
      <c r="K90" s="71">
        <f>K85/O18</f>
        <v>20.811558968652211</v>
      </c>
      <c r="L90" s="63" t="s">
        <v>50</v>
      </c>
    </row>
    <row r="94" spans="1:20" s="10" customFormat="1" x14ac:dyDescent="0.25"/>
    <row r="95" spans="1:20" s="11" customFormat="1" ht="18.75" x14ac:dyDescent="0.3">
      <c r="B95" s="12" t="s">
        <v>69</v>
      </c>
      <c r="D95" s="188" t="s">
        <v>65</v>
      </c>
      <c r="E95" s="188"/>
      <c r="L95" s="12" t="s">
        <v>69</v>
      </c>
      <c r="M95" s="12"/>
      <c r="N95" s="12" t="s">
        <v>75</v>
      </c>
      <c r="O95" s="12"/>
    </row>
    <row r="96" spans="1:20" s="11" customFormat="1" x14ac:dyDescent="0.25"/>
    <row r="97" spans="2:18" s="11" customFormat="1" x14ac:dyDescent="0.25">
      <c r="B97" s="184" t="s">
        <v>66</v>
      </c>
      <c r="C97" s="184"/>
      <c r="D97" s="13"/>
      <c r="E97" s="13"/>
      <c r="F97" s="189">
        <v>288912</v>
      </c>
      <c r="G97" s="189"/>
      <c r="L97" s="13" t="s">
        <v>66</v>
      </c>
      <c r="M97" s="13"/>
      <c r="N97" s="13"/>
      <c r="O97" s="13"/>
      <c r="P97" s="13"/>
      <c r="Q97" s="30">
        <v>271500</v>
      </c>
    </row>
    <row r="98" spans="2:18" s="11" customFormat="1" x14ac:dyDescent="0.25">
      <c r="B98" s="13" t="s">
        <v>67</v>
      </c>
      <c r="D98" s="13"/>
      <c r="E98" s="13"/>
      <c r="F98" s="185">
        <v>10</v>
      </c>
      <c r="G98" s="185"/>
      <c r="H98" s="11" t="s">
        <v>154</v>
      </c>
      <c r="L98" s="13" t="s">
        <v>67</v>
      </c>
      <c r="M98" s="13"/>
      <c r="N98" s="13"/>
      <c r="O98" s="13"/>
      <c r="P98" s="13"/>
      <c r="Q98" s="13">
        <v>10</v>
      </c>
      <c r="R98" s="11" t="s">
        <v>154</v>
      </c>
    </row>
    <row r="99" spans="2:18" s="11" customFormat="1" x14ac:dyDescent="0.25">
      <c r="B99" s="13" t="s">
        <v>81</v>
      </c>
      <c r="D99" s="13"/>
      <c r="E99" s="13"/>
      <c r="F99" s="149"/>
      <c r="G99" s="149">
        <v>2018</v>
      </c>
      <c r="L99" s="13" t="s">
        <v>81</v>
      </c>
      <c r="N99" s="13"/>
      <c r="O99" s="13"/>
      <c r="P99" s="149"/>
      <c r="Q99" s="149">
        <v>2018</v>
      </c>
    </row>
    <row r="100" spans="2:18" s="11" customFormat="1" x14ac:dyDescent="0.25">
      <c r="B100" s="184" t="s">
        <v>68</v>
      </c>
      <c r="C100" s="184"/>
      <c r="D100" s="184"/>
      <c r="F100" s="185">
        <v>6</v>
      </c>
      <c r="G100" s="185"/>
      <c r="L100" s="13" t="s">
        <v>76</v>
      </c>
      <c r="M100" s="13"/>
      <c r="N100" s="13"/>
      <c r="O100" s="13"/>
      <c r="P100" s="13"/>
      <c r="Q100" s="13">
        <v>6</v>
      </c>
    </row>
    <row r="101" spans="2:18" s="11" customFormat="1" x14ac:dyDescent="0.25">
      <c r="B101" s="184" t="s">
        <v>71</v>
      </c>
      <c r="C101" s="184"/>
      <c r="D101" s="184"/>
      <c r="F101" s="149"/>
      <c r="G101" s="17">
        <v>100000</v>
      </c>
      <c r="L101" s="13" t="s">
        <v>71</v>
      </c>
      <c r="M101" s="13"/>
      <c r="N101" s="13"/>
      <c r="O101" s="13"/>
      <c r="P101" s="13"/>
      <c r="Q101" s="19">
        <v>100000</v>
      </c>
    </row>
    <row r="102" spans="2:18" s="11" customFormat="1" x14ac:dyDescent="0.25">
      <c r="B102" s="184" t="s">
        <v>72</v>
      </c>
      <c r="C102" s="184"/>
      <c r="D102" s="184"/>
      <c r="F102" s="149"/>
      <c r="G102" s="148">
        <v>1533.77</v>
      </c>
      <c r="L102" s="13" t="s">
        <v>72</v>
      </c>
      <c r="M102" s="13"/>
      <c r="N102" s="13"/>
      <c r="O102" s="13"/>
      <c r="P102" s="13"/>
      <c r="Q102" s="69">
        <v>860.69</v>
      </c>
    </row>
    <row r="103" spans="2:18" s="11" customFormat="1" x14ac:dyDescent="0.25">
      <c r="B103" s="184" t="s">
        <v>73</v>
      </c>
      <c r="C103" s="184"/>
      <c r="D103" s="147"/>
      <c r="F103" s="149"/>
      <c r="G103" s="149">
        <v>2.6</v>
      </c>
      <c r="H103" s="13" t="s">
        <v>74</v>
      </c>
      <c r="L103" s="13" t="s">
        <v>73</v>
      </c>
      <c r="M103" s="13"/>
      <c r="N103" s="13"/>
      <c r="O103" s="13"/>
      <c r="P103" s="13"/>
      <c r="Q103" s="13">
        <v>4.7</v>
      </c>
    </row>
    <row r="104" spans="2:18" s="11" customFormat="1" x14ac:dyDescent="0.25">
      <c r="B104" s="184" t="s">
        <v>70</v>
      </c>
      <c r="C104" s="184"/>
      <c r="D104" s="184"/>
      <c r="F104" s="185" t="s">
        <v>125</v>
      </c>
      <c r="G104" s="185"/>
      <c r="L104" s="13" t="s">
        <v>70</v>
      </c>
      <c r="M104" s="13"/>
      <c r="N104" s="13"/>
      <c r="O104" s="13"/>
      <c r="P104" s="13"/>
      <c r="Q104" s="13" t="s">
        <v>124</v>
      </c>
    </row>
    <row r="105" spans="2:18" s="11" customFormat="1" x14ac:dyDescent="0.25"/>
    <row r="106" spans="2:18" s="11" customFormat="1" x14ac:dyDescent="0.25"/>
    <row r="107" spans="2:18" s="11" customFormat="1" ht="18.75" x14ac:dyDescent="0.3">
      <c r="B107" s="12" t="s">
        <v>69</v>
      </c>
      <c r="C107" s="12"/>
      <c r="D107" s="12" t="s">
        <v>77</v>
      </c>
      <c r="E107" s="13"/>
      <c r="F107" s="13"/>
      <c r="G107" s="13"/>
      <c r="H107" s="13"/>
      <c r="L107" s="12" t="s">
        <v>69</v>
      </c>
      <c r="M107" s="16"/>
      <c r="N107" s="16"/>
      <c r="O107" s="12" t="s">
        <v>78</v>
      </c>
    </row>
    <row r="108" spans="2:18" s="11" customFormat="1" x14ac:dyDescent="0.25">
      <c r="B108" s="13"/>
      <c r="C108" s="13"/>
      <c r="D108" s="13"/>
      <c r="E108" s="13"/>
      <c r="F108" s="13"/>
      <c r="G108" s="13"/>
      <c r="H108" s="13"/>
    </row>
    <row r="109" spans="2:18" s="11" customFormat="1" x14ac:dyDescent="0.25">
      <c r="B109" s="184" t="s">
        <v>66</v>
      </c>
      <c r="C109" s="184"/>
      <c r="D109" s="13"/>
      <c r="E109" s="13"/>
      <c r="F109" s="185">
        <v>400</v>
      </c>
      <c r="G109" s="185"/>
      <c r="H109" s="13"/>
      <c r="L109" s="184" t="s">
        <v>66</v>
      </c>
      <c r="M109" s="184"/>
      <c r="N109" s="13"/>
      <c r="O109" s="13"/>
      <c r="P109" s="185" t="s">
        <v>78</v>
      </c>
      <c r="Q109" s="185"/>
      <c r="R109" s="13"/>
    </row>
    <row r="110" spans="2:18" s="11" customFormat="1" x14ac:dyDescent="0.25">
      <c r="B110" s="13" t="s">
        <v>67</v>
      </c>
      <c r="C110" s="13"/>
      <c r="D110" s="13"/>
      <c r="E110" s="13"/>
      <c r="F110" s="185">
        <v>10</v>
      </c>
      <c r="G110" s="185"/>
      <c r="H110" s="13" t="s">
        <v>154</v>
      </c>
      <c r="L110" s="13" t="s">
        <v>67</v>
      </c>
      <c r="M110" s="13"/>
      <c r="N110" s="13"/>
      <c r="O110" s="13"/>
      <c r="P110" s="185">
        <v>8</v>
      </c>
      <c r="Q110" s="185"/>
      <c r="R110" s="13" t="s">
        <v>154</v>
      </c>
    </row>
    <row r="111" spans="2:18" s="11" customFormat="1" x14ac:dyDescent="0.25">
      <c r="B111" s="13" t="s">
        <v>81</v>
      </c>
      <c r="D111" s="13"/>
      <c r="E111" s="13"/>
      <c r="F111" s="149"/>
      <c r="G111" s="149" t="s">
        <v>82</v>
      </c>
      <c r="L111" s="13" t="s">
        <v>81</v>
      </c>
      <c r="N111" s="13"/>
      <c r="O111" s="13"/>
      <c r="P111" s="149"/>
      <c r="Q111" s="149" t="s">
        <v>83</v>
      </c>
      <c r="R111" s="13"/>
    </row>
    <row r="112" spans="2:18" s="11" customFormat="1" x14ac:dyDescent="0.25">
      <c r="B112" s="184" t="s">
        <v>68</v>
      </c>
      <c r="C112" s="184"/>
      <c r="D112" s="184"/>
      <c r="E112" s="13"/>
      <c r="F112" s="185" t="s">
        <v>87</v>
      </c>
      <c r="G112" s="185"/>
      <c r="H112" s="13"/>
      <c r="L112" s="184" t="s">
        <v>68</v>
      </c>
      <c r="M112" s="184"/>
      <c r="N112" s="184"/>
      <c r="O112" s="13"/>
      <c r="P112" s="185" t="s">
        <v>88</v>
      </c>
      <c r="Q112" s="185"/>
      <c r="R112" s="13"/>
    </row>
    <row r="113" spans="2:21" s="11" customFormat="1" x14ac:dyDescent="0.25">
      <c r="B113" s="184" t="s">
        <v>71</v>
      </c>
      <c r="C113" s="184"/>
      <c r="D113" s="184"/>
      <c r="E113" s="13"/>
      <c r="F113" s="149"/>
      <c r="G113" s="149" t="s">
        <v>89</v>
      </c>
      <c r="H113" s="13"/>
      <c r="L113" s="184" t="s">
        <v>71</v>
      </c>
      <c r="M113" s="184"/>
      <c r="N113" s="184"/>
      <c r="O113" s="13"/>
      <c r="P113" s="149"/>
      <c r="Q113" s="149" t="s">
        <v>90</v>
      </c>
      <c r="R113" s="13"/>
    </row>
    <row r="114" spans="2:21" s="11" customFormat="1" x14ac:dyDescent="0.25">
      <c r="B114" s="184" t="s">
        <v>72</v>
      </c>
      <c r="C114" s="184"/>
      <c r="D114" s="184"/>
      <c r="E114" s="13"/>
      <c r="F114" s="149"/>
      <c r="G114" s="149">
        <v>400</v>
      </c>
      <c r="H114" s="13"/>
      <c r="L114" s="184" t="s">
        <v>72</v>
      </c>
      <c r="M114" s="184"/>
      <c r="N114" s="184"/>
      <c r="O114" s="13"/>
      <c r="P114" s="149"/>
      <c r="Q114" s="149">
        <v>4444</v>
      </c>
      <c r="R114" s="13"/>
    </row>
    <row r="115" spans="2:21" s="11" customFormat="1" x14ac:dyDescent="0.25">
      <c r="B115" s="184" t="s">
        <v>73</v>
      </c>
      <c r="C115" s="184"/>
      <c r="D115" s="147"/>
      <c r="E115" s="13"/>
      <c r="F115" s="149"/>
      <c r="G115" s="149">
        <v>2</v>
      </c>
      <c r="H115" s="13" t="s">
        <v>74</v>
      </c>
      <c r="L115" s="184" t="s">
        <v>73</v>
      </c>
      <c r="M115" s="184"/>
      <c r="N115" s="147"/>
      <c r="O115" s="13"/>
      <c r="P115" s="149"/>
      <c r="Q115" s="149">
        <v>4</v>
      </c>
      <c r="R115" s="13" t="s">
        <v>74</v>
      </c>
    </row>
    <row r="116" spans="2:21" s="11" customFormat="1" x14ac:dyDescent="0.25">
      <c r="B116" s="184" t="s">
        <v>70</v>
      </c>
      <c r="C116" s="184"/>
      <c r="D116" s="184"/>
      <c r="E116" s="13"/>
      <c r="F116" s="185" t="s">
        <v>85</v>
      </c>
      <c r="G116" s="185"/>
      <c r="H116" s="13"/>
      <c r="L116" s="184" t="s">
        <v>70</v>
      </c>
      <c r="M116" s="184"/>
      <c r="N116" s="184"/>
      <c r="O116" s="13"/>
      <c r="P116" s="185" t="s">
        <v>86</v>
      </c>
      <c r="Q116" s="185"/>
      <c r="R116" s="13"/>
    </row>
    <row r="117" spans="2:21" s="11" customFormat="1" x14ac:dyDescent="0.25"/>
    <row r="118" spans="2:21" s="11" customFormat="1" x14ac:dyDescent="0.25"/>
    <row r="119" spans="2:21" s="11" customFormat="1" ht="18.75" x14ac:dyDescent="0.3">
      <c r="Q119" s="12" t="s">
        <v>65</v>
      </c>
      <c r="R119" s="12"/>
      <c r="T119" s="13" t="s">
        <v>130</v>
      </c>
      <c r="U119" s="13"/>
    </row>
    <row r="120" spans="2:21" s="11" customFormat="1" ht="18.75" x14ac:dyDescent="0.3">
      <c r="Q120" s="12" t="s">
        <v>75</v>
      </c>
      <c r="T120" s="13" t="s">
        <v>129</v>
      </c>
      <c r="U120" s="13"/>
    </row>
    <row r="121" spans="2:21" s="11" customFormat="1" ht="18.75" x14ac:dyDescent="0.3">
      <c r="Q121" s="12" t="s">
        <v>77</v>
      </c>
    </row>
    <row r="122" spans="2:21" s="11" customFormat="1" ht="18" customHeight="1" x14ac:dyDescent="0.3">
      <c r="B122" s="186" t="s">
        <v>172</v>
      </c>
      <c r="C122" s="186"/>
      <c r="Q122" s="12" t="s">
        <v>78</v>
      </c>
    </row>
    <row r="123" spans="2:21" ht="0.75" hidden="1" customHeight="1" x14ac:dyDescent="0.25">
      <c r="B123" s="186"/>
      <c r="C123" s="186"/>
    </row>
    <row r="124" spans="2:21" hidden="1" x14ac:dyDescent="0.25">
      <c r="B124" s="186"/>
      <c r="C124" s="186"/>
    </row>
    <row r="125" spans="2:21" x14ac:dyDescent="0.25">
      <c r="B125" s="186"/>
      <c r="C125" s="186"/>
    </row>
    <row r="126" spans="2:21" ht="24.75" x14ac:dyDescent="0.25">
      <c r="B126" s="94" t="s">
        <v>173</v>
      </c>
      <c r="C126" s="9" t="s">
        <v>174</v>
      </c>
      <c r="D126" s="9"/>
      <c r="E126" s="9"/>
      <c r="F126" s="9" t="s">
        <v>175</v>
      </c>
      <c r="G126" s="9"/>
      <c r="H126" s="9"/>
      <c r="I126" s="9" t="s">
        <v>176</v>
      </c>
      <c r="J126" s="9"/>
      <c r="K126" s="9"/>
      <c r="L126" s="9" t="s">
        <v>177</v>
      </c>
      <c r="M126" s="9"/>
      <c r="N126" s="9"/>
    </row>
    <row r="127" spans="2:21" x14ac:dyDescent="0.25">
      <c r="B127" s="5">
        <v>40</v>
      </c>
      <c r="C127" s="2">
        <f>$K$42*(B127*21)</f>
        <v>4049.0369329846144</v>
      </c>
      <c r="F127" s="2">
        <f>(C127+$K$65)*0.05</f>
        <v>1159.2990955593639</v>
      </c>
      <c r="I127" s="2">
        <f>(C127+$K$65+F127)*6%</f>
        <v>1460.7168604047984</v>
      </c>
      <c r="L127" s="31">
        <f>(C127+$K$65+F127+I127)*14.25%</f>
        <v>3677.3546960690801</v>
      </c>
      <c r="M127" s="9"/>
      <c r="N127" s="9"/>
    </row>
    <row r="128" spans="2:21" x14ac:dyDescent="0.25">
      <c r="B128" s="5">
        <v>50</v>
      </c>
      <c r="C128" s="2">
        <f t="shared" ref="C128:C139" si="0">$K$42*(B128*21)</f>
        <v>5061.296166230768</v>
      </c>
      <c r="F128" s="2">
        <f t="shared" ref="F128:F139" si="1">(C128+$K$65)*0.05</f>
        <v>1209.9120572216716</v>
      </c>
      <c r="I128" s="2">
        <f t="shared" ref="I128:I139" si="2">(C128+$K$65+F128)*6%</f>
        <v>1524.4891920993061</v>
      </c>
      <c r="L128" s="31">
        <f t="shared" ref="L128:L139" si="3">(C128+$K$65+F128+I128)*14.25%</f>
        <v>3837.9015411100031</v>
      </c>
      <c r="M128" s="9"/>
      <c r="N128" s="9"/>
    </row>
    <row r="129" spans="2:14" x14ac:dyDescent="0.25">
      <c r="B129" s="5">
        <v>60</v>
      </c>
      <c r="C129" s="2">
        <f t="shared" si="0"/>
        <v>6073.5553994769216</v>
      </c>
      <c r="F129" s="2">
        <f t="shared" si="1"/>
        <v>1260.5250188839793</v>
      </c>
      <c r="I129" s="2">
        <f t="shared" si="2"/>
        <v>1588.2615237938137</v>
      </c>
      <c r="L129" s="31">
        <f t="shared" si="3"/>
        <v>3998.4483861509261</v>
      </c>
      <c r="M129" s="9"/>
      <c r="N129" s="9"/>
    </row>
    <row r="130" spans="2:14" x14ac:dyDescent="0.25">
      <c r="B130" s="5">
        <v>70</v>
      </c>
      <c r="C130" s="2">
        <f t="shared" si="0"/>
        <v>7085.8146327230752</v>
      </c>
      <c r="F130" s="2">
        <f t="shared" si="1"/>
        <v>1311.1379805462871</v>
      </c>
      <c r="I130" s="2">
        <f t="shared" si="2"/>
        <v>1652.0338554883215</v>
      </c>
      <c r="L130" s="31">
        <f t="shared" si="3"/>
        <v>4158.9952311918487</v>
      </c>
      <c r="M130" s="9"/>
      <c r="N130" s="9"/>
    </row>
    <row r="131" spans="2:14" x14ac:dyDescent="0.25">
      <c r="B131" s="5">
        <v>80</v>
      </c>
      <c r="C131" s="2">
        <f t="shared" si="0"/>
        <v>8098.0738659692288</v>
      </c>
      <c r="F131" s="2">
        <f t="shared" si="1"/>
        <v>1361.7509422085948</v>
      </c>
      <c r="I131" s="2">
        <f t="shared" si="2"/>
        <v>1715.806187182829</v>
      </c>
      <c r="L131" s="31">
        <f t="shared" si="3"/>
        <v>4319.5420762327722</v>
      </c>
      <c r="M131" s="9"/>
      <c r="N131" s="9"/>
    </row>
    <row r="132" spans="2:14" x14ac:dyDescent="0.25">
      <c r="B132" s="5">
        <v>90</v>
      </c>
      <c r="C132" s="2">
        <f t="shared" si="0"/>
        <v>9110.3330992153824</v>
      </c>
      <c r="F132" s="2">
        <f t="shared" si="1"/>
        <v>1412.3639038709025</v>
      </c>
      <c r="I132" s="2">
        <f t="shared" si="2"/>
        <v>1779.578518877337</v>
      </c>
      <c r="L132" s="31">
        <f t="shared" si="3"/>
        <v>4480.0889212736956</v>
      </c>
      <c r="M132" s="9"/>
      <c r="N132" s="9"/>
    </row>
    <row r="133" spans="2:14" x14ac:dyDescent="0.25">
      <c r="B133" s="5">
        <v>100</v>
      </c>
      <c r="C133" s="2">
        <f t="shared" si="0"/>
        <v>10122.592332461536</v>
      </c>
      <c r="F133" s="2">
        <f t="shared" si="1"/>
        <v>1462.97686553321</v>
      </c>
      <c r="I133" s="2">
        <f t="shared" si="2"/>
        <v>1843.3508505718444</v>
      </c>
      <c r="L133" s="31">
        <f t="shared" si="3"/>
        <v>4640.6357663146182</v>
      </c>
      <c r="M133" s="9"/>
      <c r="N133" s="9"/>
    </row>
    <row r="134" spans="2:14" x14ac:dyDescent="0.25">
      <c r="B134" s="5">
        <v>110</v>
      </c>
      <c r="C134" s="2">
        <f t="shared" si="0"/>
        <v>11134.85156570769</v>
      </c>
      <c r="F134" s="2">
        <f t="shared" si="1"/>
        <v>1513.5898271955177</v>
      </c>
      <c r="I134" s="2">
        <f t="shared" si="2"/>
        <v>1907.1231822663524</v>
      </c>
      <c r="L134" s="31">
        <f t="shared" si="3"/>
        <v>4801.1826113555417</v>
      </c>
      <c r="M134" s="9"/>
      <c r="N134" s="9"/>
    </row>
    <row r="135" spans="2:14" x14ac:dyDescent="0.25">
      <c r="B135" s="5">
        <v>120</v>
      </c>
      <c r="C135" s="2">
        <f t="shared" si="0"/>
        <v>12147.110798953843</v>
      </c>
      <c r="F135" s="2">
        <f t="shared" si="1"/>
        <v>1564.2027888578255</v>
      </c>
      <c r="I135" s="2">
        <f t="shared" si="2"/>
        <v>1970.8955139608597</v>
      </c>
      <c r="L135" s="31">
        <f t="shared" si="3"/>
        <v>4961.7294563964642</v>
      </c>
      <c r="M135" s="9"/>
      <c r="N135" s="9"/>
    </row>
    <row r="136" spans="2:14" x14ac:dyDescent="0.25">
      <c r="B136" s="5">
        <v>130</v>
      </c>
      <c r="C136" s="2">
        <f t="shared" si="0"/>
        <v>13159.370032199997</v>
      </c>
      <c r="F136" s="2">
        <f t="shared" si="1"/>
        <v>1614.8157505201332</v>
      </c>
      <c r="I136" s="2">
        <f t="shared" si="2"/>
        <v>2034.6678456553677</v>
      </c>
      <c r="L136" s="31">
        <f t="shared" si="3"/>
        <v>5122.2763014373886</v>
      </c>
      <c r="M136" s="9"/>
      <c r="N136" s="9"/>
    </row>
    <row r="137" spans="2:14" x14ac:dyDescent="0.25">
      <c r="B137" s="5">
        <v>140</v>
      </c>
      <c r="C137" s="2">
        <f t="shared" si="0"/>
        <v>14171.62926544615</v>
      </c>
      <c r="F137" s="2">
        <f t="shared" si="1"/>
        <v>1665.4287121824409</v>
      </c>
      <c r="I137" s="2">
        <f t="shared" si="2"/>
        <v>2098.4401773498753</v>
      </c>
      <c r="L137" s="31">
        <f t="shared" si="3"/>
        <v>5282.8231464783103</v>
      </c>
      <c r="M137" s="9"/>
      <c r="N137" s="9"/>
    </row>
    <row r="138" spans="2:14" x14ac:dyDescent="0.25">
      <c r="B138" s="5">
        <v>150</v>
      </c>
      <c r="C138" s="2">
        <f t="shared" si="0"/>
        <v>15183.888498692304</v>
      </c>
      <c r="F138" s="2">
        <f t="shared" si="1"/>
        <v>1716.0416738447486</v>
      </c>
      <c r="I138" s="2">
        <f t="shared" si="2"/>
        <v>2162.2125090443828</v>
      </c>
      <c r="L138" s="31">
        <f t="shared" si="3"/>
        <v>5443.3699915192337</v>
      </c>
      <c r="M138" s="9"/>
      <c r="N138" s="9"/>
    </row>
    <row r="139" spans="2:14" x14ac:dyDescent="0.25">
      <c r="B139" s="5">
        <v>160</v>
      </c>
      <c r="C139" s="2">
        <f t="shared" si="0"/>
        <v>16196.147731938458</v>
      </c>
      <c r="F139" s="2">
        <f t="shared" si="1"/>
        <v>1766.6546355070561</v>
      </c>
      <c r="I139" s="2">
        <f t="shared" si="2"/>
        <v>2225.9848407388904</v>
      </c>
      <c r="L139" s="31">
        <f t="shared" si="3"/>
        <v>5603.9168365601563</v>
      </c>
      <c r="M139" s="9"/>
      <c r="N139" s="9"/>
    </row>
    <row r="140" spans="2:14" x14ac:dyDescent="0.25">
      <c r="B140" s="5"/>
    </row>
    <row r="143" spans="2:14" x14ac:dyDescent="0.25">
      <c r="B143" s="187" t="s">
        <v>178</v>
      </c>
      <c r="C143" s="187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</row>
    <row r="144" spans="2:14" x14ac:dyDescent="0.25">
      <c r="B144" s="187"/>
      <c r="C144" s="187"/>
    </row>
    <row r="145" spans="2:14" x14ac:dyDescent="0.25">
      <c r="B145" s="187"/>
      <c r="C145" s="187"/>
    </row>
    <row r="146" spans="2:14" x14ac:dyDescent="0.25">
      <c r="B146" s="187"/>
      <c r="C146" s="187"/>
    </row>
    <row r="147" spans="2:14" ht="24.75" x14ac:dyDescent="0.25">
      <c r="B147" s="94" t="s">
        <v>173</v>
      </c>
      <c r="C147" s="9" t="s">
        <v>174</v>
      </c>
      <c r="D147" s="9"/>
      <c r="E147" s="9"/>
      <c r="F147" s="9" t="s">
        <v>175</v>
      </c>
      <c r="G147" s="9"/>
      <c r="H147" s="9"/>
      <c r="I147" s="9" t="s">
        <v>176</v>
      </c>
      <c r="J147" s="9"/>
      <c r="K147" s="9"/>
      <c r="L147" s="9" t="s">
        <v>177</v>
      </c>
      <c r="M147" s="9"/>
      <c r="N147" s="9"/>
    </row>
    <row r="148" spans="2:14" x14ac:dyDescent="0.25">
      <c r="B148" s="5">
        <v>40</v>
      </c>
      <c r="C148" s="2">
        <f>($K$42*(B148*21))*1.154</f>
        <v>4672.5886206642444</v>
      </c>
      <c r="F148" s="2">
        <f>(C148+$K$65)*0.05</f>
        <v>1190.4766799433455</v>
      </c>
      <c r="I148" s="2">
        <f>(C148+$K$65+F148)*6%</f>
        <v>1500.0006167286153</v>
      </c>
      <c r="L148" s="31">
        <f>(C148+$K$65+F148+I148)*14.25%</f>
        <v>3776.2515526142888</v>
      </c>
      <c r="M148" s="9"/>
      <c r="N148" s="9"/>
    </row>
    <row r="149" spans="2:14" x14ac:dyDescent="0.25">
      <c r="B149" s="5">
        <v>50</v>
      </c>
      <c r="C149" s="2">
        <f t="shared" ref="C149:C160" si="4">($K$42*(B149*21))*1.154</f>
        <v>5840.735775830306</v>
      </c>
      <c r="F149" s="2">
        <f t="shared" ref="F149:F160" si="5">(C149+$K$65)*0.05</f>
        <v>1248.8840377016486</v>
      </c>
      <c r="I149" s="2">
        <f t="shared" ref="I149:I160" si="6">(C149+$K$65+F149)*6%</f>
        <v>1573.593887504077</v>
      </c>
      <c r="L149" s="31">
        <f t="shared" ref="L149:L160" si="7">(C149+$K$65+F149+I149)*14.25%</f>
        <v>3961.5226117915136</v>
      </c>
      <c r="M149" s="9"/>
      <c r="N149" s="9"/>
    </row>
    <row r="150" spans="2:14" x14ac:dyDescent="0.25">
      <c r="B150" s="5">
        <v>60</v>
      </c>
      <c r="C150" s="2">
        <f t="shared" si="4"/>
        <v>7008.8829309963667</v>
      </c>
      <c r="F150" s="2">
        <f t="shared" si="5"/>
        <v>1307.2913954599517</v>
      </c>
      <c r="I150" s="2">
        <f t="shared" si="6"/>
        <v>1647.1871582795388</v>
      </c>
      <c r="L150" s="31">
        <f t="shared" si="7"/>
        <v>4146.7936709687392</v>
      </c>
      <c r="M150" s="9"/>
      <c r="N150" s="9"/>
    </row>
    <row r="151" spans="2:14" x14ac:dyDescent="0.25">
      <c r="B151" s="5">
        <v>70</v>
      </c>
      <c r="C151" s="2">
        <f t="shared" si="4"/>
        <v>8177.0300861624282</v>
      </c>
      <c r="F151" s="2">
        <f t="shared" si="5"/>
        <v>1365.6987532182548</v>
      </c>
      <c r="I151" s="2">
        <f t="shared" si="6"/>
        <v>1720.7804290550007</v>
      </c>
      <c r="L151" s="31">
        <f t="shared" si="7"/>
        <v>4332.0647301459639</v>
      </c>
      <c r="M151" s="9"/>
      <c r="N151" s="9"/>
    </row>
    <row r="152" spans="2:14" x14ac:dyDescent="0.25">
      <c r="B152" s="5">
        <v>80</v>
      </c>
      <c r="C152" s="2">
        <f t="shared" si="4"/>
        <v>9345.1772413284889</v>
      </c>
      <c r="F152" s="2">
        <f t="shared" si="5"/>
        <v>1424.1061109765578</v>
      </c>
      <c r="I152" s="2">
        <f t="shared" si="6"/>
        <v>1794.3736998304626</v>
      </c>
      <c r="L152" s="31">
        <f t="shared" si="7"/>
        <v>4517.3357893231896</v>
      </c>
      <c r="M152" s="9"/>
      <c r="N152" s="9"/>
    </row>
    <row r="153" spans="2:14" x14ac:dyDescent="0.25">
      <c r="B153" s="5">
        <v>90</v>
      </c>
      <c r="C153" s="2">
        <f t="shared" si="4"/>
        <v>10513.32439649455</v>
      </c>
      <c r="F153" s="2">
        <f t="shared" si="5"/>
        <v>1482.5134687348609</v>
      </c>
      <c r="I153" s="2">
        <f t="shared" si="6"/>
        <v>1867.9669706059244</v>
      </c>
      <c r="L153" s="31">
        <f t="shared" si="7"/>
        <v>4702.6068485004143</v>
      </c>
      <c r="M153" s="9"/>
      <c r="N153" s="9"/>
    </row>
    <row r="154" spans="2:14" x14ac:dyDescent="0.25">
      <c r="B154" s="5">
        <v>100</v>
      </c>
      <c r="C154" s="2">
        <f t="shared" si="4"/>
        <v>11681.471551660612</v>
      </c>
      <c r="F154" s="2">
        <f t="shared" si="5"/>
        <v>1540.920826493164</v>
      </c>
      <c r="I154" s="2">
        <f t="shared" si="6"/>
        <v>1941.5602413813863</v>
      </c>
      <c r="L154" s="31">
        <f t="shared" si="7"/>
        <v>4887.8779076776391</v>
      </c>
      <c r="M154" s="9"/>
      <c r="N154" s="9"/>
    </row>
    <row r="155" spans="2:14" x14ac:dyDescent="0.25">
      <c r="B155" s="5">
        <v>110</v>
      </c>
      <c r="C155" s="2">
        <f t="shared" si="4"/>
        <v>12849.618706826674</v>
      </c>
      <c r="F155" s="2">
        <f t="shared" si="5"/>
        <v>1599.3281842514671</v>
      </c>
      <c r="I155" s="2">
        <f t="shared" si="6"/>
        <v>2015.1535121568484</v>
      </c>
      <c r="L155" s="31">
        <f t="shared" si="7"/>
        <v>5073.1489668548647</v>
      </c>
      <c r="M155" s="9"/>
      <c r="N155" s="9"/>
    </row>
    <row r="156" spans="2:14" x14ac:dyDescent="0.25">
      <c r="B156" s="5">
        <v>120</v>
      </c>
      <c r="C156" s="2">
        <f t="shared" si="4"/>
        <v>14017.765861992733</v>
      </c>
      <c r="F156" s="2">
        <f t="shared" si="5"/>
        <v>1657.7355420097699</v>
      </c>
      <c r="I156" s="2">
        <f t="shared" si="6"/>
        <v>2088.7467829323095</v>
      </c>
      <c r="L156" s="31">
        <f t="shared" si="7"/>
        <v>5258.4200260320886</v>
      </c>
      <c r="M156" s="9"/>
      <c r="N156" s="9"/>
    </row>
    <row r="157" spans="2:14" x14ac:dyDescent="0.25">
      <c r="B157" s="5">
        <v>130</v>
      </c>
      <c r="C157" s="2">
        <f t="shared" si="4"/>
        <v>15185.913017158795</v>
      </c>
      <c r="F157" s="2">
        <f t="shared" si="5"/>
        <v>1716.1428997680732</v>
      </c>
      <c r="I157" s="2">
        <f t="shared" si="6"/>
        <v>2162.3400537077719</v>
      </c>
      <c r="L157" s="31">
        <f t="shared" si="7"/>
        <v>5443.6910852093151</v>
      </c>
      <c r="M157" s="9"/>
      <c r="N157" s="9"/>
    </row>
    <row r="158" spans="2:14" x14ac:dyDescent="0.25">
      <c r="B158" s="5">
        <v>140</v>
      </c>
      <c r="C158" s="2">
        <f t="shared" si="4"/>
        <v>16354.060172324856</v>
      </c>
      <c r="F158" s="2">
        <f t="shared" si="5"/>
        <v>1774.5502575263761</v>
      </c>
      <c r="I158" s="2">
        <f t="shared" si="6"/>
        <v>2235.9333244832337</v>
      </c>
      <c r="L158" s="31">
        <f t="shared" si="7"/>
        <v>5628.9621443865399</v>
      </c>
      <c r="M158" s="9"/>
      <c r="N158" s="9"/>
    </row>
    <row r="159" spans="2:14" x14ac:dyDescent="0.25">
      <c r="B159" s="5">
        <v>150</v>
      </c>
      <c r="C159" s="2">
        <f t="shared" si="4"/>
        <v>17522.207327490916</v>
      </c>
      <c r="F159" s="2">
        <f t="shared" si="5"/>
        <v>1832.9576152846794</v>
      </c>
      <c r="I159" s="2">
        <f t="shared" si="6"/>
        <v>2309.5265952586956</v>
      </c>
      <c r="L159" s="31">
        <f t="shared" si="7"/>
        <v>5814.2332035637655</v>
      </c>
      <c r="M159" s="9"/>
      <c r="N159" s="9"/>
    </row>
    <row r="160" spans="2:14" x14ac:dyDescent="0.25">
      <c r="B160" s="5">
        <v>160</v>
      </c>
      <c r="C160" s="2">
        <f t="shared" si="4"/>
        <v>18690.354482656978</v>
      </c>
      <c r="F160" s="2">
        <f t="shared" si="5"/>
        <v>1891.3649730429822</v>
      </c>
      <c r="I160" s="2">
        <f t="shared" si="6"/>
        <v>2383.1198660341574</v>
      </c>
      <c r="L160" s="31">
        <f t="shared" si="7"/>
        <v>5999.5042627409903</v>
      </c>
      <c r="M160" s="9"/>
      <c r="N160" s="9"/>
    </row>
  </sheetData>
  <mergeCells count="121">
    <mergeCell ref="B116:D116"/>
    <mergeCell ref="F116:G116"/>
    <mergeCell ref="L116:N116"/>
    <mergeCell ref="P116:Q116"/>
    <mergeCell ref="B122:C125"/>
    <mergeCell ref="B143:C146"/>
    <mergeCell ref="B113:D113"/>
    <mergeCell ref="L113:N113"/>
    <mergeCell ref="B114:D114"/>
    <mergeCell ref="L114:N114"/>
    <mergeCell ref="B115:C115"/>
    <mergeCell ref="L115:M115"/>
    <mergeCell ref="L109:M109"/>
    <mergeCell ref="P109:Q109"/>
    <mergeCell ref="F110:G110"/>
    <mergeCell ref="P110:Q110"/>
    <mergeCell ref="B112:D112"/>
    <mergeCell ref="F112:G112"/>
    <mergeCell ref="L112:N112"/>
    <mergeCell ref="P112:Q112"/>
    <mergeCell ref="B101:D101"/>
    <mergeCell ref="B102:D102"/>
    <mergeCell ref="B103:C103"/>
    <mergeCell ref="B104:D104"/>
    <mergeCell ref="F104:G104"/>
    <mergeCell ref="B109:C109"/>
    <mergeCell ref="F109:G109"/>
    <mergeCell ref="D95:E95"/>
    <mergeCell ref="B97:C97"/>
    <mergeCell ref="F97:G97"/>
    <mergeCell ref="F98:G98"/>
    <mergeCell ref="B100:D100"/>
    <mergeCell ref="F100:G100"/>
    <mergeCell ref="A79:J79"/>
    <mergeCell ref="A82:I82"/>
    <mergeCell ref="A84:H84"/>
    <mergeCell ref="A85:J85"/>
    <mergeCell ref="A89:J89"/>
    <mergeCell ref="A90:J90"/>
    <mergeCell ref="A74:E74"/>
    <mergeCell ref="A75:F75"/>
    <mergeCell ref="I75:J75"/>
    <mergeCell ref="I76:J76"/>
    <mergeCell ref="I77:J77"/>
    <mergeCell ref="I78:J78"/>
    <mergeCell ref="A65:J65"/>
    <mergeCell ref="A67:I67"/>
    <mergeCell ref="A69:E69"/>
    <mergeCell ref="I69:J69"/>
    <mergeCell ref="C70:F70"/>
    <mergeCell ref="C71:F71"/>
    <mergeCell ref="C54:F54"/>
    <mergeCell ref="C55:F55"/>
    <mergeCell ref="C58:F58"/>
    <mergeCell ref="C60:G60"/>
    <mergeCell ref="C62:E62"/>
    <mergeCell ref="C63:F63"/>
    <mergeCell ref="A49:E49"/>
    <mergeCell ref="H50:I50"/>
    <mergeCell ref="C51:F51"/>
    <mergeCell ref="H51:I51"/>
    <mergeCell ref="C52:F52"/>
    <mergeCell ref="C53:F53"/>
    <mergeCell ref="B41:D41"/>
    <mergeCell ref="F41:H41"/>
    <mergeCell ref="A42:E42"/>
    <mergeCell ref="A43:J43"/>
    <mergeCell ref="A45:J45"/>
    <mergeCell ref="A47:J47"/>
    <mergeCell ref="A36:E36"/>
    <mergeCell ref="B37:D37"/>
    <mergeCell ref="E37:F37"/>
    <mergeCell ref="B38:D38"/>
    <mergeCell ref="B39:D39"/>
    <mergeCell ref="B40:D40"/>
    <mergeCell ref="A28:D28"/>
    <mergeCell ref="E28:F28"/>
    <mergeCell ref="A31:F31"/>
    <mergeCell ref="A32:D32"/>
    <mergeCell ref="E32:F32"/>
    <mergeCell ref="A33:D33"/>
    <mergeCell ref="A25:D25"/>
    <mergeCell ref="E25:F25"/>
    <mergeCell ref="A26:D26"/>
    <mergeCell ref="E26:F26"/>
    <mergeCell ref="A27:D27"/>
    <mergeCell ref="E27:F27"/>
    <mergeCell ref="K18:N18"/>
    <mergeCell ref="A19:F19"/>
    <mergeCell ref="A20:F20"/>
    <mergeCell ref="H20:N21"/>
    <mergeCell ref="A23:F23"/>
    <mergeCell ref="A24:D24"/>
    <mergeCell ref="E24:F24"/>
    <mergeCell ref="A16:D16"/>
    <mergeCell ref="E16:F16"/>
    <mergeCell ref="K16:N17"/>
    <mergeCell ref="O16:O17"/>
    <mergeCell ref="P16:P17"/>
    <mergeCell ref="T17:V17"/>
    <mergeCell ref="A14:D14"/>
    <mergeCell ref="E14:F14"/>
    <mergeCell ref="K14:N15"/>
    <mergeCell ref="O14:O15"/>
    <mergeCell ref="P14:P15"/>
    <mergeCell ref="E15:F15"/>
    <mergeCell ref="A11:F11"/>
    <mergeCell ref="K11:N11"/>
    <mergeCell ref="A12:C12"/>
    <mergeCell ref="E12:F12"/>
    <mergeCell ref="K12:N12"/>
    <mergeCell ref="A13:D13"/>
    <mergeCell ref="E13:F13"/>
    <mergeCell ref="K13:N13"/>
    <mergeCell ref="C2:F6"/>
    <mergeCell ref="H3:P5"/>
    <mergeCell ref="F7:H7"/>
    <mergeCell ref="K7:N7"/>
    <mergeCell ref="B8:C8"/>
    <mergeCell ref="I9:P9"/>
    <mergeCell ref="A9:F9"/>
  </mergeCells>
  <conditionalFormatting sqref="P19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{E1F76F0C-9224-4368-A5DA-58C9E1039270}</x14:id>
        </ext>
      </extLst>
    </cfRule>
  </conditionalFormatting>
  <dataValidations count="3">
    <dataValidation type="list" allowBlank="1" showInputMessage="1" showErrorMessage="1" sqref="F7:H7 T17:V17">
      <formula1>$Q$119:$Q$122</formula1>
    </dataValidation>
    <dataValidation type="list" allowBlank="1" showInputMessage="1" showErrorMessage="1" sqref="L51">
      <formula1>"LINEAR, MÉTODO COLE"</formula1>
    </dataValidation>
    <dataValidation type="list" allowBlank="1" showInputMessage="1" showErrorMessage="1" sqref="E15:F15">
      <formula1>"0,1,2,3,4,5,6,7,8,9,10,11,12,13,14,15"</formula1>
    </dataValidation>
  </dataValidations>
  <pageMargins left="0.51181102362204722" right="0.51181102362204722" top="0.78740157480314965" bottom="0.78740157480314965" header="0.31496062992125984" footer="0.31496062992125984"/>
  <pageSetup paperSize="9" scale="50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1F76F0C-9224-4368-A5DA-58C9E103927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P19</xm:sqref>
        </x14:conditionalFormatting>
      </x14:conditionalFormattings>
    </ext>
  </extLst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56">
    <tabColor rgb="FF00B0F0"/>
  </sheetPr>
  <dimension ref="A2:V160"/>
  <sheetViews>
    <sheetView tabSelected="1" view="pageBreakPreview" topLeftCell="A47" zoomScale="85" zoomScaleNormal="100" zoomScaleSheetLayoutView="85" workbookViewId="0">
      <selection activeCell="A57" sqref="A57"/>
    </sheetView>
  </sheetViews>
  <sheetFormatPr defaultColWidth="8.85546875" defaultRowHeight="15" x14ac:dyDescent="0.25"/>
  <cols>
    <col min="2" max="2" width="14.140625" customWidth="1"/>
    <col min="3" max="3" width="15.28515625" customWidth="1"/>
    <col min="5" max="5" width="12.42578125" customWidth="1"/>
    <col min="6" max="6" width="13.5703125" customWidth="1"/>
    <col min="7" max="7" width="12.140625" customWidth="1"/>
    <col min="9" max="9" width="10.7109375" customWidth="1"/>
    <col min="10" max="10" width="12.140625" bestFit="1" customWidth="1"/>
    <col min="11" max="11" width="16.42578125" bestFit="1" customWidth="1"/>
    <col min="12" max="12" width="14.42578125" customWidth="1"/>
    <col min="14" max="14" width="6.42578125" customWidth="1"/>
    <col min="15" max="15" width="9" customWidth="1"/>
    <col min="16" max="16" width="10.42578125" customWidth="1"/>
    <col min="17" max="17" width="15.140625" customWidth="1"/>
    <col min="18" max="18" width="14.7109375" bestFit="1" customWidth="1"/>
    <col min="19" max="19" width="19.42578125" bestFit="1" customWidth="1"/>
  </cols>
  <sheetData>
    <row r="2" spans="1:19" x14ac:dyDescent="0.25">
      <c r="C2" s="239" t="s">
        <v>151</v>
      </c>
      <c r="D2" s="240"/>
      <c r="E2" s="240"/>
      <c r="F2" s="240"/>
    </row>
    <row r="3" spans="1:19" x14ac:dyDescent="0.25">
      <c r="C3" s="240"/>
      <c r="D3" s="240"/>
      <c r="E3" s="240"/>
      <c r="F3" s="240"/>
      <c r="H3" s="241" t="s">
        <v>64</v>
      </c>
      <c r="I3" s="239"/>
      <c r="J3" s="239"/>
      <c r="K3" s="239"/>
      <c r="L3" s="239"/>
      <c r="M3" s="239"/>
      <c r="N3" s="239"/>
      <c r="O3" s="239"/>
      <c r="P3" s="239"/>
    </row>
    <row r="4" spans="1:19" x14ac:dyDescent="0.25">
      <c r="C4" s="240"/>
      <c r="D4" s="240"/>
      <c r="E4" s="240"/>
      <c r="F4" s="240"/>
      <c r="H4" s="239"/>
      <c r="I4" s="239"/>
      <c r="J4" s="239"/>
      <c r="K4" s="239"/>
      <c r="L4" s="239"/>
      <c r="M4" s="239"/>
      <c r="N4" s="239"/>
      <c r="O4" s="239"/>
      <c r="P4" s="239"/>
    </row>
    <row r="5" spans="1:19" x14ac:dyDescent="0.25">
      <c r="C5" s="240"/>
      <c r="D5" s="240"/>
      <c r="E5" s="240"/>
      <c r="F5" s="240"/>
      <c r="H5" s="239"/>
      <c r="I5" s="239"/>
      <c r="J5" s="239"/>
      <c r="K5" s="239"/>
      <c r="L5" s="239"/>
      <c r="M5" s="239"/>
      <c r="N5" s="239"/>
      <c r="O5" s="239"/>
      <c r="P5" s="239"/>
    </row>
    <row r="6" spans="1:19" x14ac:dyDescent="0.25">
      <c r="C6" s="240"/>
      <c r="D6" s="240"/>
      <c r="E6" s="240"/>
      <c r="F6" s="240"/>
    </row>
    <row r="7" spans="1:19" ht="21" x14ac:dyDescent="0.35">
      <c r="E7" s="18" t="s">
        <v>80</v>
      </c>
      <c r="F7" s="235" t="s">
        <v>65</v>
      </c>
      <c r="G7" s="235"/>
      <c r="H7" s="235"/>
      <c r="K7" s="242" t="s">
        <v>286</v>
      </c>
      <c r="L7" s="243"/>
      <c r="M7" s="243"/>
      <c r="N7" s="243"/>
    </row>
    <row r="8" spans="1:19" ht="15.75" x14ac:dyDescent="0.25">
      <c r="B8" s="194"/>
      <c r="C8" s="194"/>
      <c r="D8" s="8"/>
      <c r="E8" s="8"/>
      <c r="F8" s="8"/>
      <c r="J8" s="9"/>
    </row>
    <row r="9" spans="1:19" ht="21" x14ac:dyDescent="0.35">
      <c r="A9" s="235" t="s">
        <v>352</v>
      </c>
      <c r="B9" s="235"/>
      <c r="C9" s="235"/>
      <c r="D9" s="235"/>
      <c r="E9" s="235"/>
      <c r="F9" s="235"/>
      <c r="I9" s="244" t="s">
        <v>157</v>
      </c>
      <c r="J9" s="244"/>
      <c r="K9" s="244"/>
      <c r="L9" s="244"/>
      <c r="M9" s="244"/>
      <c r="N9" s="244"/>
      <c r="O9" s="244"/>
      <c r="P9" s="244"/>
      <c r="R9" s="9" t="s">
        <v>155</v>
      </c>
      <c r="S9" s="9" t="s">
        <v>156</v>
      </c>
    </row>
    <row r="10" spans="1:19" x14ac:dyDescent="0.25">
      <c r="R10" s="2">
        <f>K43</f>
        <v>9737.9338238279979</v>
      </c>
      <c r="S10" s="43">
        <f>K45</f>
        <v>1118.8946699132364</v>
      </c>
    </row>
    <row r="11" spans="1:19" ht="17.25" x14ac:dyDescent="0.3">
      <c r="A11" s="236" t="s">
        <v>150</v>
      </c>
      <c r="B11" s="237"/>
      <c r="C11" s="237"/>
      <c r="D11" s="237"/>
      <c r="E11" s="237"/>
      <c r="F11" s="238"/>
      <c r="G11" s="40" t="s">
        <v>0</v>
      </c>
      <c r="K11" s="206" t="s">
        <v>15</v>
      </c>
      <c r="L11" s="206"/>
      <c r="M11" s="206"/>
      <c r="N11" s="206"/>
      <c r="O11" s="46">
        <f>O12+O13</f>
        <v>105.8</v>
      </c>
      <c r="P11" s="47" t="s">
        <v>14</v>
      </c>
      <c r="R11" s="130">
        <f>K65/O18*O14</f>
        <v>17400.511407401664</v>
      </c>
      <c r="S11" s="130">
        <f>K65/O18*O16</f>
        <v>1736.4335708009976</v>
      </c>
    </row>
    <row r="12" spans="1:19" ht="15.75" x14ac:dyDescent="0.25">
      <c r="A12" s="214" t="s">
        <v>107</v>
      </c>
      <c r="B12" s="215"/>
      <c r="C12" s="215"/>
      <c r="D12" s="48"/>
      <c r="E12" s="218">
        <f>Insumos!$B$4</f>
        <v>531068.38</v>
      </c>
      <c r="F12" s="218"/>
      <c r="G12" s="1"/>
      <c r="K12" s="206" t="s">
        <v>136</v>
      </c>
      <c r="L12" s="206"/>
      <c r="M12" s="206"/>
      <c r="N12" s="206"/>
      <c r="O12" s="150">
        <v>96.2</v>
      </c>
      <c r="P12" s="47" t="s">
        <v>14</v>
      </c>
      <c r="R12" s="2">
        <f>K72/O18*O14</f>
        <v>1845.3475785007547</v>
      </c>
      <c r="S12" s="2">
        <f>K72/O18*O16</f>
        <v>184.15110970485699</v>
      </c>
    </row>
    <row r="13" spans="1:19" ht="15.75" x14ac:dyDescent="0.25">
      <c r="A13" s="214" t="s">
        <v>285</v>
      </c>
      <c r="B13" s="215"/>
      <c r="C13" s="215"/>
      <c r="D13" s="216"/>
      <c r="E13" s="198">
        <f>'DEPRECIAÇÃO LINEAR'!D15</f>
        <v>10</v>
      </c>
      <c r="F13" s="198"/>
      <c r="K13" s="206" t="s">
        <v>137</v>
      </c>
      <c r="L13" s="206"/>
      <c r="M13" s="206"/>
      <c r="N13" s="206"/>
      <c r="O13" s="150">
        <v>9.6</v>
      </c>
      <c r="P13" s="47" t="s">
        <v>14</v>
      </c>
      <c r="R13" s="2">
        <f>K79/O18*O14</f>
        <v>2757.164426340164</v>
      </c>
      <c r="S13" s="2">
        <f>K79/O18*O16</f>
        <v>275.14322757656521</v>
      </c>
    </row>
    <row r="14" spans="1:19" ht="15" customHeight="1" x14ac:dyDescent="0.25">
      <c r="A14" s="214" t="s">
        <v>23</v>
      </c>
      <c r="B14" s="215"/>
      <c r="C14" s="215"/>
      <c r="D14" s="216"/>
      <c r="E14" s="219">
        <v>2026</v>
      </c>
      <c r="F14" s="220"/>
      <c r="K14" s="223" t="s">
        <v>138</v>
      </c>
      <c r="L14" s="223"/>
      <c r="M14" s="223"/>
      <c r="N14" s="223"/>
      <c r="O14" s="232">
        <f>O12*21</f>
        <v>2020.2</v>
      </c>
      <c r="P14" s="234" t="s">
        <v>14</v>
      </c>
      <c r="R14" s="2">
        <f>SUM(R10:R13)</f>
        <v>31740.957236070582</v>
      </c>
      <c r="S14" s="2">
        <f>SUM(S10:S13)</f>
        <v>3314.6225779956562</v>
      </c>
    </row>
    <row r="15" spans="1:19" ht="15.75" customHeight="1" x14ac:dyDescent="0.25">
      <c r="A15" s="49" t="s">
        <v>79</v>
      </c>
      <c r="B15" s="48"/>
      <c r="C15" s="48"/>
      <c r="D15" s="48"/>
      <c r="E15" s="198">
        <v>0</v>
      </c>
      <c r="F15" s="198"/>
      <c r="G15" s="41" t="s">
        <v>128</v>
      </c>
      <c r="I15" s="28"/>
      <c r="J15" s="28"/>
      <c r="K15" s="223"/>
      <c r="L15" s="223"/>
      <c r="M15" s="223"/>
      <c r="N15" s="223"/>
      <c r="O15" s="233"/>
      <c r="P15" s="234"/>
      <c r="R15" s="31">
        <f>IFERROR(R14/O14,0)</f>
        <v>15.711789543644482</v>
      </c>
      <c r="S15" s="31">
        <f>IFERROR(S14/O16,0)</f>
        <v>16.441580247994327</v>
      </c>
    </row>
    <row r="16" spans="1:19" ht="15" customHeight="1" x14ac:dyDescent="0.25">
      <c r="A16" s="214" t="s">
        <v>84</v>
      </c>
      <c r="B16" s="215"/>
      <c r="C16" s="215"/>
      <c r="D16" s="215"/>
      <c r="E16" s="198" t="str">
        <f>IF($F$7=$D$95,F104,IF($F$7=$D$107,F116,IF($F$7=$N$95,Q104,IF($F$7=$O$107,P116,""))))</f>
        <v>ATÉ 59 ALUNOS</v>
      </c>
      <c r="F16" s="198"/>
      <c r="I16" s="28"/>
      <c r="J16" s="28"/>
      <c r="K16" s="223" t="s">
        <v>139</v>
      </c>
      <c r="L16" s="223"/>
      <c r="M16" s="223"/>
      <c r="N16" s="223"/>
      <c r="O16" s="232">
        <f>O13*21</f>
        <v>201.6</v>
      </c>
      <c r="P16" s="234" t="s">
        <v>14</v>
      </c>
    </row>
    <row r="17" spans="1:22" ht="15" customHeight="1" x14ac:dyDescent="0.35">
      <c r="I17" s="28"/>
      <c r="J17" s="28"/>
      <c r="K17" s="223"/>
      <c r="L17" s="223"/>
      <c r="M17" s="223"/>
      <c r="N17" s="223"/>
      <c r="O17" s="233"/>
      <c r="P17" s="234"/>
      <c r="R17" s="2">
        <f>R14+S14</f>
        <v>35055.579814066237</v>
      </c>
      <c r="T17" s="235"/>
      <c r="U17" s="235"/>
      <c r="V17" s="235"/>
    </row>
    <row r="18" spans="1:22" ht="15" customHeight="1" x14ac:dyDescent="0.25">
      <c r="I18" s="28"/>
      <c r="J18" s="28"/>
      <c r="K18" s="223" t="s">
        <v>140</v>
      </c>
      <c r="L18" s="223"/>
      <c r="M18" s="223"/>
      <c r="N18" s="223"/>
      <c r="O18" s="46">
        <f>O16+O14</f>
        <v>2221.8000000000002</v>
      </c>
      <c r="P18" s="47" t="s">
        <v>14</v>
      </c>
      <c r="R18" s="2">
        <f>R17/O18</f>
        <v>15.778008737990024</v>
      </c>
    </row>
    <row r="19" spans="1:22" ht="15.75" customHeight="1" thickBot="1" x14ac:dyDescent="0.35">
      <c r="A19" s="224" t="s">
        <v>1</v>
      </c>
      <c r="B19" s="225"/>
      <c r="C19" s="225"/>
      <c r="D19" s="225"/>
      <c r="E19" s="225"/>
      <c r="F19" s="225"/>
      <c r="I19" s="29"/>
      <c r="J19" s="29"/>
      <c r="K19" s="29"/>
      <c r="L19" s="29"/>
      <c r="M19" s="29"/>
    </row>
    <row r="20" spans="1:22" ht="15" customHeight="1" x14ac:dyDescent="0.25">
      <c r="A20" s="206" t="s">
        <v>106</v>
      </c>
      <c r="B20" s="206"/>
      <c r="C20" s="206"/>
      <c r="D20" s="206"/>
      <c r="E20" s="206"/>
      <c r="F20" s="206"/>
      <c r="H20" s="285" t="s">
        <v>309</v>
      </c>
      <c r="I20" s="286"/>
      <c r="J20" s="286"/>
      <c r="K20" s="286"/>
      <c r="L20" s="286"/>
      <c r="M20" s="286"/>
      <c r="N20" s="287"/>
      <c r="O20" s="93">
        <f>K90</f>
        <v>15.778008737990024</v>
      </c>
      <c r="R20" s="93">
        <f>K90</f>
        <v>15.778008737990024</v>
      </c>
    </row>
    <row r="21" spans="1:22" ht="15.75" thickBot="1" x14ac:dyDescent="0.3">
      <c r="H21" s="288"/>
      <c r="I21" s="289"/>
      <c r="J21" s="289"/>
      <c r="K21" s="289"/>
      <c r="L21" s="289"/>
      <c r="M21" s="289"/>
      <c r="N21" s="290"/>
      <c r="O21" s="2"/>
    </row>
    <row r="23" spans="1:22" ht="17.25" x14ac:dyDescent="0.3">
      <c r="A23" s="224" t="s">
        <v>2</v>
      </c>
      <c r="B23" s="225"/>
      <c r="C23" s="225"/>
      <c r="D23" s="225"/>
      <c r="E23" s="225"/>
      <c r="F23" s="225"/>
      <c r="L23" s="2"/>
    </row>
    <row r="24" spans="1:22" ht="15.75" x14ac:dyDescent="0.25">
      <c r="A24" s="214" t="s">
        <v>11</v>
      </c>
      <c r="B24" s="215"/>
      <c r="C24" s="215"/>
      <c r="D24" s="215"/>
      <c r="E24" s="198">
        <f>IF($F$7=$D$95,F100,IF($F$7=$D$107,F112,IF($F$7=$N$95,Q100,IF($F$7=$O$107,P112,""))))</f>
        <v>6</v>
      </c>
      <c r="F24" s="198"/>
    </row>
    <row r="25" spans="1:22" ht="15.75" x14ac:dyDescent="0.25">
      <c r="A25" s="214" t="s">
        <v>9</v>
      </c>
      <c r="B25" s="215"/>
      <c r="C25" s="215"/>
      <c r="D25" s="216"/>
      <c r="E25" s="218">
        <f>Insumos!$B$5</f>
        <v>2453.2399999999998</v>
      </c>
      <c r="F25" s="218"/>
    </row>
    <row r="26" spans="1:22" ht="15.75" x14ac:dyDescent="0.25">
      <c r="A26" s="214" t="s">
        <v>147</v>
      </c>
      <c r="B26" s="215"/>
      <c r="C26" s="215"/>
      <c r="D26" s="216"/>
      <c r="E26" s="219">
        <v>2</v>
      </c>
      <c r="F26" s="220"/>
    </row>
    <row r="27" spans="1:22" ht="15.75" x14ac:dyDescent="0.25">
      <c r="A27" s="214" t="s">
        <v>148</v>
      </c>
      <c r="B27" s="215"/>
      <c r="C27" s="215"/>
      <c r="D27" s="216"/>
      <c r="E27" s="221">
        <f>Insumos!$B$6</f>
        <v>975.83</v>
      </c>
      <c r="F27" s="222"/>
    </row>
    <row r="28" spans="1:22" ht="15.75" x14ac:dyDescent="0.25">
      <c r="A28" s="214" t="s">
        <v>149</v>
      </c>
      <c r="B28" s="215"/>
      <c r="C28" s="215"/>
      <c r="D28" s="216"/>
      <c r="E28" s="217">
        <v>100000</v>
      </c>
      <c r="F28" s="217"/>
    </row>
    <row r="31" spans="1:22" ht="15.75" x14ac:dyDescent="0.25">
      <c r="A31" s="191" t="s">
        <v>3</v>
      </c>
      <c r="B31" s="192"/>
      <c r="C31" s="192"/>
      <c r="D31" s="192"/>
      <c r="E31" s="192"/>
      <c r="F31" s="192"/>
    </row>
    <row r="32" spans="1:22" ht="15.75" x14ac:dyDescent="0.25">
      <c r="A32" s="214" t="s">
        <v>19</v>
      </c>
      <c r="B32" s="215"/>
      <c r="C32" s="215"/>
      <c r="D32" s="216"/>
      <c r="E32" s="218">
        <f>Insumos!$B$7</f>
        <v>7.6</v>
      </c>
      <c r="F32" s="218"/>
    </row>
    <row r="33" spans="1:14" ht="15.75" x14ac:dyDescent="0.25">
      <c r="A33" s="214" t="s">
        <v>17</v>
      </c>
      <c r="B33" s="215"/>
      <c r="C33" s="215"/>
      <c r="D33" s="216"/>
      <c r="E33" s="46">
        <f>IF($F$7=$D$95,G103,IF($F$7=$D$107,G115,IF($F$7=$N$95,Q103,IF($F$7=$O$107,Q115,""))))</f>
        <v>2.6</v>
      </c>
      <c r="F33" s="50" t="s">
        <v>18</v>
      </c>
    </row>
    <row r="36" spans="1:14" ht="17.25" x14ac:dyDescent="0.3">
      <c r="A36" s="208" t="s">
        <v>20</v>
      </c>
      <c r="B36" s="209"/>
      <c r="C36" s="209"/>
      <c r="D36" s="209"/>
      <c r="E36" s="209"/>
    </row>
    <row r="37" spans="1:14" x14ac:dyDescent="0.25">
      <c r="B37" s="210"/>
      <c r="C37" s="210"/>
      <c r="D37" s="211"/>
      <c r="E37" s="212" t="s">
        <v>4</v>
      </c>
      <c r="F37" s="213"/>
    </row>
    <row r="38" spans="1:14" ht="15.75" x14ac:dyDescent="0.25">
      <c r="A38" s="46" t="s">
        <v>346</v>
      </c>
      <c r="B38" s="214" t="s">
        <v>52</v>
      </c>
      <c r="C38" s="215"/>
      <c r="D38" s="216"/>
      <c r="E38" s="46">
        <f>1/E33</f>
        <v>0.38461538461538458</v>
      </c>
      <c r="F38" s="7" t="s">
        <v>5</v>
      </c>
      <c r="G38" s="7"/>
      <c r="H38" s="7"/>
      <c r="I38" s="7"/>
      <c r="J38" s="7"/>
      <c r="K38" s="58">
        <f>E32*E38</f>
        <v>2.9230769230769225</v>
      </c>
      <c r="L38" s="51" t="s">
        <v>13</v>
      </c>
      <c r="N38" s="2"/>
    </row>
    <row r="39" spans="1:14" ht="15.75" x14ac:dyDescent="0.25">
      <c r="A39" s="46" t="s">
        <v>6</v>
      </c>
      <c r="B39" s="206" t="s">
        <v>152</v>
      </c>
      <c r="C39" s="206"/>
      <c r="D39" s="206"/>
      <c r="E39" s="46">
        <v>0.04</v>
      </c>
      <c r="F39" s="7" t="s">
        <v>5</v>
      </c>
      <c r="G39" s="7"/>
      <c r="H39" s="7"/>
      <c r="I39" s="7"/>
      <c r="J39" s="7"/>
      <c r="K39" s="58">
        <f>E39*E32</f>
        <v>0.30399999999999999</v>
      </c>
      <c r="L39" s="51" t="s">
        <v>13</v>
      </c>
    </row>
    <row r="40" spans="1:14" ht="15.75" x14ac:dyDescent="0.25">
      <c r="A40" s="46" t="s">
        <v>7</v>
      </c>
      <c r="B40" s="206" t="s">
        <v>8</v>
      </c>
      <c r="C40" s="206"/>
      <c r="D40" s="206"/>
      <c r="E40" s="46"/>
      <c r="F40" s="7"/>
      <c r="G40" s="7"/>
      <c r="H40" s="7"/>
      <c r="I40" s="7"/>
      <c r="J40" s="7"/>
      <c r="K40" s="58">
        <f>((E25*E24)+(E26*E24*E27))/E28</f>
        <v>0.26429400000000003</v>
      </c>
      <c r="L40" s="51" t="s">
        <v>13</v>
      </c>
    </row>
    <row r="41" spans="1:14" ht="15.75" x14ac:dyDescent="0.25">
      <c r="A41" s="46" t="s">
        <v>12</v>
      </c>
      <c r="B41" s="206" t="s">
        <v>153</v>
      </c>
      <c r="C41" s="206"/>
      <c r="D41" s="206"/>
      <c r="E41" s="70">
        <v>3.0000000000000001E-6</v>
      </c>
      <c r="F41" s="193" t="s">
        <v>10</v>
      </c>
      <c r="G41" s="193"/>
      <c r="H41" s="193"/>
      <c r="I41" s="7"/>
      <c r="J41" s="7"/>
      <c r="K41" s="58">
        <f>(E41*E12)-(K40)</f>
        <v>1.32891114</v>
      </c>
      <c r="L41" s="51" t="s">
        <v>13</v>
      </c>
    </row>
    <row r="42" spans="1:14" ht="15.75" x14ac:dyDescent="0.25">
      <c r="A42" s="207"/>
      <c r="B42" s="207"/>
      <c r="C42" s="207"/>
      <c r="D42" s="207"/>
      <c r="E42" s="207"/>
      <c r="F42" s="7"/>
      <c r="G42" s="7"/>
      <c r="H42" s="7"/>
      <c r="I42" s="7"/>
      <c r="J42" s="7"/>
      <c r="K42" s="58">
        <f>SUM(K38:K41)</f>
        <v>4.8202820630769221</v>
      </c>
      <c r="L42" s="51" t="s">
        <v>13</v>
      </c>
    </row>
    <row r="43" spans="1:14" ht="21" customHeight="1" x14ac:dyDescent="0.25">
      <c r="A43" s="200" t="s">
        <v>144</v>
      </c>
      <c r="B43" s="200"/>
      <c r="C43" s="200"/>
      <c r="D43" s="200"/>
      <c r="E43" s="200"/>
      <c r="F43" s="200"/>
      <c r="G43" s="200"/>
      <c r="H43" s="200"/>
      <c r="I43" s="200"/>
      <c r="J43" s="200"/>
      <c r="K43" s="68">
        <f>K42*O14</f>
        <v>9737.9338238279979</v>
      </c>
      <c r="L43" s="52" t="s">
        <v>16</v>
      </c>
    </row>
    <row r="45" spans="1:14" ht="18.75" x14ac:dyDescent="0.3">
      <c r="A45" s="190" t="s">
        <v>145</v>
      </c>
      <c r="B45" s="190"/>
      <c r="C45" s="190"/>
      <c r="D45" s="190"/>
      <c r="E45" s="190"/>
      <c r="F45" s="190"/>
      <c r="G45" s="190"/>
      <c r="H45" s="190"/>
      <c r="I45" s="190"/>
      <c r="J45" s="190"/>
      <c r="K45" s="65">
        <f>K42*O16*1.1514</f>
        <v>1118.8946699132364</v>
      </c>
      <c r="L45" s="53" t="s">
        <v>16</v>
      </c>
    </row>
    <row r="46" spans="1:14" ht="15.75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</row>
    <row r="47" spans="1:14" ht="18.75" x14ac:dyDescent="0.3">
      <c r="A47" s="190" t="s">
        <v>146</v>
      </c>
      <c r="B47" s="190"/>
      <c r="C47" s="190"/>
      <c r="D47" s="190"/>
      <c r="E47" s="190"/>
      <c r="F47" s="190"/>
      <c r="G47" s="190"/>
      <c r="H47" s="190"/>
      <c r="I47" s="190"/>
      <c r="J47" s="190"/>
      <c r="K47" s="65">
        <f>K43+K45</f>
        <v>10856.828493741234</v>
      </c>
      <c r="L47" s="54" t="s">
        <v>16</v>
      </c>
    </row>
    <row r="49" spans="1:12" ht="15.75" x14ac:dyDescent="0.25">
      <c r="A49" s="197" t="s">
        <v>21</v>
      </c>
      <c r="B49" s="204"/>
      <c r="C49" s="204"/>
      <c r="D49" s="204"/>
      <c r="E49" s="204"/>
      <c r="F49" s="7"/>
      <c r="G49" s="7"/>
      <c r="H49" s="7"/>
      <c r="I49" s="7"/>
      <c r="J49" s="7"/>
      <c r="K49" s="7"/>
      <c r="L49" s="7"/>
    </row>
    <row r="50" spans="1:12" ht="15.75" x14ac:dyDescent="0.25">
      <c r="A50" s="3"/>
      <c r="B50" s="45"/>
      <c r="C50" s="45"/>
      <c r="D50" s="45"/>
      <c r="E50" s="45"/>
      <c r="F50" s="7"/>
      <c r="G50" s="7"/>
      <c r="H50" s="205" t="s">
        <v>25</v>
      </c>
      <c r="I50" s="205"/>
      <c r="J50" s="7"/>
      <c r="K50" s="7"/>
      <c r="L50" s="7"/>
    </row>
    <row r="51" spans="1:12" ht="15.75" x14ac:dyDescent="0.25">
      <c r="A51" s="7" t="s">
        <v>22</v>
      </c>
      <c r="B51" s="7"/>
      <c r="C51" s="193" t="s">
        <v>24</v>
      </c>
      <c r="D51" s="193"/>
      <c r="E51" s="193"/>
      <c r="F51" s="193"/>
      <c r="G51" s="7"/>
      <c r="H51" s="195"/>
      <c r="I51" s="195"/>
      <c r="J51" s="58"/>
      <c r="K51" s="59">
        <f>IF(L51="LINEAR",'DEPRECIAÇÃO LINEAR'!H23,(VLOOKUP(E15,'DEPRECIAÇÃO LINEAR'!W12:AM25,17,0)))</f>
        <v>3983.0128500000005</v>
      </c>
      <c r="L51" s="55" t="s">
        <v>130</v>
      </c>
    </row>
    <row r="52" spans="1:12" ht="15.75" x14ac:dyDescent="0.25">
      <c r="A52" s="7" t="s">
        <v>26</v>
      </c>
      <c r="B52" s="7"/>
      <c r="C52" s="193" t="s">
        <v>27</v>
      </c>
      <c r="D52" s="193"/>
      <c r="E52" s="193"/>
      <c r="F52" s="193"/>
      <c r="G52" s="7"/>
      <c r="H52" s="7"/>
      <c r="I52" s="7"/>
      <c r="J52" s="58"/>
      <c r="K52" s="58"/>
      <c r="L52" s="7"/>
    </row>
    <row r="53" spans="1:12" ht="15.75" x14ac:dyDescent="0.25">
      <c r="A53" s="7"/>
      <c r="B53" s="7" t="s">
        <v>31</v>
      </c>
      <c r="C53" s="193" t="s">
        <v>28</v>
      </c>
      <c r="D53" s="193"/>
      <c r="E53" s="193"/>
      <c r="F53" s="193"/>
      <c r="G53" s="7"/>
      <c r="H53" s="7"/>
      <c r="I53" s="7"/>
      <c r="J53" s="58"/>
      <c r="K53" s="58">
        <f>'Motorista de Veiculo Pesado'!E90</f>
        <v>8468.4608078400015</v>
      </c>
      <c r="L53" s="7"/>
    </row>
    <row r="54" spans="1:12" ht="15.75" x14ac:dyDescent="0.25">
      <c r="A54" s="7"/>
      <c r="B54" s="7" t="s">
        <v>32</v>
      </c>
      <c r="C54" s="193" t="s">
        <v>29</v>
      </c>
      <c r="D54" s="193"/>
      <c r="E54" s="193"/>
      <c r="F54" s="193"/>
      <c r="G54" s="7"/>
      <c r="H54" s="7"/>
      <c r="I54" s="7"/>
      <c r="J54" s="58"/>
      <c r="K54" s="58">
        <f>'Monitor de Transporte Escolar'!E90</f>
        <v>4485.726463695999</v>
      </c>
      <c r="L54" s="7"/>
    </row>
    <row r="55" spans="1:12" ht="15.75" x14ac:dyDescent="0.25">
      <c r="A55" s="7" t="s">
        <v>30</v>
      </c>
      <c r="B55" s="7"/>
      <c r="C55" s="193" t="s">
        <v>34</v>
      </c>
      <c r="D55" s="193"/>
      <c r="E55" s="193"/>
      <c r="F55" s="193"/>
      <c r="G55" s="7"/>
      <c r="H55" s="7"/>
      <c r="I55" s="7"/>
      <c r="J55" s="58"/>
      <c r="K55" s="58"/>
      <c r="L55" s="56"/>
    </row>
    <row r="56" spans="1:12" ht="15.75" x14ac:dyDescent="0.25">
      <c r="A56" s="7"/>
      <c r="B56" s="7" t="s">
        <v>33</v>
      </c>
      <c r="C56" s="7" t="s">
        <v>35</v>
      </c>
      <c r="D56" s="7"/>
      <c r="E56" s="7"/>
      <c r="F56" s="7"/>
      <c r="G56" s="7"/>
      <c r="H56" s="7"/>
      <c r="I56" s="7"/>
      <c r="J56" s="58">
        <f>1/100*E12</f>
        <v>5310.6837999999998</v>
      </c>
      <c r="K56" s="58">
        <f>J56/12</f>
        <v>442.55698333333333</v>
      </c>
      <c r="L56" s="7"/>
    </row>
    <row r="57" spans="1:12" ht="15.75" x14ac:dyDescent="0.25">
      <c r="A57" s="7"/>
      <c r="B57" s="7" t="s">
        <v>36</v>
      </c>
      <c r="C57" s="7" t="s">
        <v>37</v>
      </c>
      <c r="D57" s="7"/>
      <c r="E57" s="7"/>
      <c r="F57" s="7"/>
      <c r="G57" s="7"/>
      <c r="H57" s="7"/>
      <c r="I57" s="7"/>
      <c r="J57" s="58">
        <v>230.25</v>
      </c>
      <c r="K57" s="58">
        <f>J57/12</f>
        <v>19.1875</v>
      </c>
      <c r="L57" s="7"/>
    </row>
    <row r="58" spans="1:12" ht="15.75" x14ac:dyDescent="0.25">
      <c r="A58" s="7"/>
      <c r="B58" s="7" t="s">
        <v>38</v>
      </c>
      <c r="C58" s="193" t="s">
        <v>39</v>
      </c>
      <c r="D58" s="193"/>
      <c r="E58" s="193"/>
      <c r="F58" s="193"/>
      <c r="G58" s="7"/>
      <c r="H58" s="7"/>
      <c r="I58" s="7"/>
      <c r="J58" s="58">
        <v>161.80000000000001</v>
      </c>
      <c r="K58" s="58">
        <f>J58/12</f>
        <v>13.483333333333334</v>
      </c>
      <c r="L58" s="7"/>
    </row>
    <row r="59" spans="1:12" ht="15.75" x14ac:dyDescent="0.25">
      <c r="A59" s="7" t="s">
        <v>41</v>
      </c>
      <c r="B59" s="7"/>
      <c r="C59" s="7" t="s">
        <v>40</v>
      </c>
      <c r="D59" s="7"/>
      <c r="E59" s="7"/>
      <c r="F59" s="7"/>
      <c r="G59" s="7"/>
      <c r="H59" s="7"/>
      <c r="I59" s="7"/>
      <c r="J59" s="58">
        <v>0</v>
      </c>
      <c r="K59" s="58">
        <f>J59/12</f>
        <v>0</v>
      </c>
      <c r="L59" s="7"/>
    </row>
    <row r="60" spans="1:12" ht="15.75" x14ac:dyDescent="0.25">
      <c r="A60" s="7" t="s">
        <v>57</v>
      </c>
      <c r="B60" s="7"/>
      <c r="C60" s="193" t="s">
        <v>58</v>
      </c>
      <c r="D60" s="193"/>
      <c r="E60" s="193"/>
      <c r="F60" s="193"/>
      <c r="G60" s="193"/>
      <c r="H60" s="7"/>
      <c r="I60" s="7"/>
      <c r="J60" s="58">
        <f>Insumos!$B$8</f>
        <v>350.88</v>
      </c>
      <c r="K60" s="58">
        <f>4*J60</f>
        <v>1403.52</v>
      </c>
      <c r="L60" s="7"/>
    </row>
    <row r="61" spans="1:12" ht="15.75" x14ac:dyDescent="0.25">
      <c r="A61" s="7" t="s">
        <v>60</v>
      </c>
      <c r="B61" s="7"/>
      <c r="C61" s="45" t="s">
        <v>63</v>
      </c>
      <c r="D61" s="45"/>
      <c r="E61" s="45"/>
      <c r="F61" s="45"/>
      <c r="G61" s="45"/>
      <c r="H61" s="7"/>
      <c r="I61" s="7"/>
      <c r="J61" s="58">
        <f>Insumos!$B$9</f>
        <v>2680.95</v>
      </c>
      <c r="K61" s="58">
        <f>J61/12</f>
        <v>223.41249999999999</v>
      </c>
      <c r="L61" s="7"/>
    </row>
    <row r="62" spans="1:12" ht="15.75" x14ac:dyDescent="0.25">
      <c r="A62" s="7" t="s">
        <v>61</v>
      </c>
      <c r="B62" s="7"/>
      <c r="C62" s="193" t="s">
        <v>62</v>
      </c>
      <c r="D62" s="193"/>
      <c r="E62" s="193"/>
      <c r="F62" s="45"/>
      <c r="G62" s="45"/>
      <c r="H62" s="7"/>
      <c r="I62" s="7"/>
      <c r="J62" s="60">
        <f>Insumos!$B$10</f>
        <v>932.23</v>
      </c>
      <c r="K62" s="58">
        <f>J62/12</f>
        <v>77.685833333333335</v>
      </c>
      <c r="L62" s="7"/>
    </row>
    <row r="63" spans="1:12" ht="15.75" x14ac:dyDescent="0.25">
      <c r="A63" s="7" t="s">
        <v>142</v>
      </c>
      <c r="B63" s="7"/>
      <c r="C63" s="203" t="s">
        <v>143</v>
      </c>
      <c r="D63" s="203"/>
      <c r="E63" s="203"/>
      <c r="F63" s="203"/>
      <c r="G63" s="164"/>
      <c r="H63" s="7"/>
      <c r="I63" s="7"/>
      <c r="J63" s="60">
        <f>Insumos!$B$11</f>
        <v>471.82</v>
      </c>
      <c r="K63" s="72">
        <f>J63/24</f>
        <v>19.659166666666668</v>
      </c>
      <c r="L63" s="7"/>
    </row>
    <row r="64" spans="1:12" ht="15.75" x14ac:dyDescent="0.25">
      <c r="A64" s="7" t="s">
        <v>340</v>
      </c>
      <c r="B64" s="7"/>
      <c r="C64" s="165" t="s">
        <v>343</v>
      </c>
      <c r="D64" s="165"/>
      <c r="E64" s="165"/>
      <c r="F64" s="165"/>
      <c r="G64" s="164"/>
      <c r="H64" s="7"/>
      <c r="I64" s="7"/>
      <c r="J64" s="60">
        <f>Insumos!$B$12</f>
        <v>14.372399999999997</v>
      </c>
      <c r="K64" s="72">
        <f>J64/60</f>
        <v>0.23953999999999995</v>
      </c>
      <c r="L64" s="7"/>
    </row>
    <row r="65" spans="1:13" ht="20.25" customHeight="1" x14ac:dyDescent="0.25">
      <c r="A65" s="259" t="s">
        <v>43</v>
      </c>
      <c r="B65" s="260"/>
      <c r="C65" s="260"/>
      <c r="D65" s="260"/>
      <c r="E65" s="260"/>
      <c r="F65" s="260"/>
      <c r="G65" s="260"/>
      <c r="H65" s="260"/>
      <c r="I65" s="260"/>
      <c r="J65" s="261"/>
      <c r="K65" s="67">
        <f>SUM(K51:K64)</f>
        <v>19136.944978202664</v>
      </c>
      <c r="L65" s="57" t="s">
        <v>16</v>
      </c>
      <c r="M65" s="4"/>
    </row>
    <row r="67" spans="1:13" ht="19.5" customHeight="1" x14ac:dyDescent="0.3">
      <c r="A67" s="262" t="s">
        <v>132</v>
      </c>
      <c r="B67" s="263"/>
      <c r="C67" s="263"/>
      <c r="D67" s="263"/>
      <c r="E67" s="263"/>
      <c r="F67" s="263"/>
      <c r="G67" s="263"/>
      <c r="H67" s="263"/>
      <c r="I67" s="264"/>
      <c r="K67" s="66">
        <f>K47+K65</f>
        <v>29993.773471943896</v>
      </c>
    </row>
    <row r="69" spans="1:13" ht="15.75" x14ac:dyDescent="0.25">
      <c r="A69" s="254" t="s">
        <v>133</v>
      </c>
      <c r="B69" s="255"/>
      <c r="C69" s="255"/>
      <c r="D69" s="255"/>
      <c r="E69" s="256"/>
      <c r="I69" s="265" t="s">
        <v>55</v>
      </c>
      <c r="J69" s="266"/>
    </row>
    <row r="70" spans="1:13" ht="15.75" x14ac:dyDescent="0.25">
      <c r="A70" s="7" t="s">
        <v>341</v>
      </c>
      <c r="B70" s="7"/>
      <c r="C70" s="193" t="s">
        <v>54</v>
      </c>
      <c r="D70" s="193"/>
      <c r="E70" s="193"/>
      <c r="F70" s="193"/>
      <c r="G70" s="7"/>
      <c r="H70" s="7"/>
      <c r="I70" s="168">
        <f>Insumos!$B$15</f>
        <v>2.6599999999999999E-2</v>
      </c>
      <c r="J70" s="7"/>
      <c r="K70" s="58">
        <f>I70*K67</f>
        <v>797.83437435370763</v>
      </c>
      <c r="L70" s="7"/>
    </row>
    <row r="71" spans="1:13" ht="15.75" x14ac:dyDescent="0.25">
      <c r="A71" s="7" t="s">
        <v>342</v>
      </c>
      <c r="B71" s="7"/>
      <c r="C71" s="193" t="s">
        <v>59</v>
      </c>
      <c r="D71" s="193"/>
      <c r="E71" s="193"/>
      <c r="F71" s="193"/>
      <c r="G71" s="7"/>
      <c r="H71" s="7"/>
      <c r="I71" s="169">
        <f>Insumos!$B$16</f>
        <v>0.04</v>
      </c>
      <c r="J71" s="7"/>
      <c r="K71" s="58">
        <f>I71*(K67+K70)</f>
        <v>1231.6643138519041</v>
      </c>
      <c r="L71" s="7"/>
    </row>
    <row r="72" spans="1:13" ht="18.75" x14ac:dyDescent="0.3">
      <c r="A72" s="7"/>
      <c r="B72" s="7"/>
      <c r="C72" s="7"/>
      <c r="D72" s="7"/>
      <c r="E72" s="7"/>
      <c r="F72" s="7"/>
      <c r="G72" s="7"/>
      <c r="H72" s="7"/>
      <c r="I72" s="7"/>
      <c r="J72" s="61" t="s">
        <v>131</v>
      </c>
      <c r="K72" s="65">
        <f>SUM(K70:K71)</f>
        <v>2029.4986882056119</v>
      </c>
      <c r="L72" s="54" t="s">
        <v>16</v>
      </c>
    </row>
    <row r="74" spans="1:13" ht="15.75" x14ac:dyDescent="0.25">
      <c r="A74" s="254" t="s">
        <v>134</v>
      </c>
      <c r="B74" s="255"/>
      <c r="C74" s="255"/>
      <c r="D74" s="255"/>
      <c r="E74" s="256"/>
      <c r="F74" s="7"/>
      <c r="G74" s="7"/>
      <c r="H74" s="7"/>
      <c r="I74" s="7"/>
      <c r="J74" s="7"/>
      <c r="K74" s="7"/>
      <c r="L74" s="7"/>
    </row>
    <row r="75" spans="1:13" ht="15.75" x14ac:dyDescent="0.25">
      <c r="A75" s="193" t="s">
        <v>42</v>
      </c>
      <c r="B75" s="193"/>
      <c r="C75" s="193"/>
      <c r="D75" s="193"/>
      <c r="E75" s="193"/>
      <c r="F75" s="193"/>
      <c r="G75" s="7"/>
      <c r="H75" s="7"/>
      <c r="I75" s="219" t="s">
        <v>47</v>
      </c>
      <c r="J75" s="220"/>
      <c r="K75" s="51">
        <f>K67+K72</f>
        <v>32023.272160149507</v>
      </c>
      <c r="L75" s="7"/>
    </row>
    <row r="76" spans="1:13" ht="15.75" x14ac:dyDescent="0.25">
      <c r="A76" s="7" t="s">
        <v>53</v>
      </c>
      <c r="C76" s="7" t="s">
        <v>44</v>
      </c>
      <c r="D76" s="7"/>
      <c r="E76" s="7"/>
      <c r="F76" s="7"/>
      <c r="G76" s="7"/>
      <c r="H76" s="7"/>
      <c r="I76" s="257">
        <f>Insumos!$B$18</f>
        <v>0.05</v>
      </c>
      <c r="J76" s="258"/>
      <c r="K76" s="51">
        <f>$K$75/(1-(SUM($I$76:$J$78)))*I76</f>
        <v>1752.778990703312</v>
      </c>
      <c r="L76" s="7"/>
    </row>
    <row r="77" spans="1:13" ht="15.75" x14ac:dyDescent="0.25">
      <c r="A77" s="7" t="s">
        <v>344</v>
      </c>
      <c r="C77" s="7" t="s">
        <v>45</v>
      </c>
      <c r="D77" s="7"/>
      <c r="E77" s="7"/>
      <c r="F77" s="7"/>
      <c r="G77" s="7"/>
      <c r="H77" s="7"/>
      <c r="I77" s="257">
        <f>Insumos!$B$19</f>
        <v>6.4999999999999997E-3</v>
      </c>
      <c r="J77" s="258"/>
      <c r="K77" s="51">
        <f>$K$75/(1-(SUM($I$76:$J$78)))*I77</f>
        <v>227.86126879143052</v>
      </c>
      <c r="L77" s="7"/>
    </row>
    <row r="78" spans="1:13" ht="15.75" x14ac:dyDescent="0.25">
      <c r="A78" s="7" t="s">
        <v>345</v>
      </c>
      <c r="C78" s="7" t="s">
        <v>46</v>
      </c>
      <c r="D78" s="7"/>
      <c r="E78" s="7"/>
      <c r="F78" s="7"/>
      <c r="G78" s="7"/>
      <c r="H78" s="7"/>
      <c r="I78" s="257">
        <f>Insumos!$B$20</f>
        <v>0.03</v>
      </c>
      <c r="J78" s="258"/>
      <c r="K78" s="51">
        <f>$K$75/(1-(SUM($I$76:$J$78)))*I78</f>
        <v>1051.6673944219872</v>
      </c>
      <c r="L78" s="7"/>
    </row>
    <row r="79" spans="1:13" ht="21" customHeight="1" x14ac:dyDescent="0.3">
      <c r="A79" s="251" t="s">
        <v>48</v>
      </c>
      <c r="B79" s="252"/>
      <c r="C79" s="252"/>
      <c r="D79" s="252"/>
      <c r="E79" s="252"/>
      <c r="F79" s="252"/>
      <c r="G79" s="252"/>
      <c r="H79" s="252"/>
      <c r="I79" s="252"/>
      <c r="J79" s="253"/>
      <c r="K79" s="64">
        <f>SUM(K76:K78)</f>
        <v>3032.3076539167296</v>
      </c>
      <c r="L79" s="54" t="s">
        <v>16</v>
      </c>
    </row>
    <row r="81" spans="1:20" x14ac:dyDescent="0.25">
      <c r="C81" s="5"/>
      <c r="D81" s="5"/>
      <c r="E81" s="5"/>
      <c r="F81" s="5"/>
      <c r="K81" s="2"/>
    </row>
    <row r="82" spans="1:20" ht="15.75" x14ac:dyDescent="0.25">
      <c r="A82" s="191" t="s">
        <v>56</v>
      </c>
      <c r="B82" s="191"/>
      <c r="C82" s="191"/>
      <c r="D82" s="191"/>
      <c r="E82" s="191"/>
      <c r="F82" s="191"/>
      <c r="G82" s="191"/>
      <c r="H82" s="191"/>
      <c r="I82" s="191"/>
      <c r="T82" s="43"/>
    </row>
    <row r="83" spans="1:20" ht="15.75" x14ac:dyDescent="0.25">
      <c r="A83" s="6"/>
      <c r="B83" s="6"/>
      <c r="C83" s="6"/>
      <c r="D83" s="6"/>
      <c r="E83" s="6"/>
      <c r="F83" s="6"/>
      <c r="G83" s="6"/>
      <c r="H83" s="6"/>
      <c r="I83" s="6"/>
    </row>
    <row r="84" spans="1:20" ht="15.75" x14ac:dyDescent="0.25">
      <c r="A84" s="191" t="s">
        <v>51</v>
      </c>
      <c r="B84" s="192"/>
      <c r="C84" s="192"/>
      <c r="D84" s="192"/>
      <c r="E84" s="192"/>
      <c r="F84" s="192"/>
      <c r="G84" s="192"/>
      <c r="H84" s="192"/>
    </row>
    <row r="85" spans="1:20" ht="20.25" customHeight="1" x14ac:dyDescent="0.3">
      <c r="A85" s="193" t="s">
        <v>135</v>
      </c>
      <c r="B85" s="193"/>
      <c r="C85" s="193"/>
      <c r="D85" s="193"/>
      <c r="E85" s="193"/>
      <c r="F85" s="193"/>
      <c r="G85" s="193"/>
      <c r="H85" s="193"/>
      <c r="I85" s="193"/>
      <c r="J85" s="193"/>
      <c r="K85" s="62">
        <f>K67+K72+K79</f>
        <v>35055.579814066237</v>
      </c>
    </row>
    <row r="86" spans="1:20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2"/>
    </row>
    <row r="87" spans="1:20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2"/>
      <c r="P87" s="42"/>
    </row>
    <row r="88" spans="1:20" ht="8.25" customHeight="1" x14ac:dyDescent="0.25"/>
    <row r="89" spans="1:20" ht="16.5" customHeight="1" x14ac:dyDescent="0.25">
      <c r="A89" s="194" t="s">
        <v>49</v>
      </c>
      <c r="B89" s="195"/>
      <c r="C89" s="195"/>
      <c r="D89" s="195"/>
      <c r="E89" s="195"/>
      <c r="F89" s="195"/>
      <c r="G89" s="195"/>
      <c r="H89" s="195"/>
      <c r="I89" s="195"/>
      <c r="J89" s="195"/>
      <c r="K89" s="7"/>
      <c r="L89" s="7"/>
    </row>
    <row r="90" spans="1:20" ht="24.75" customHeight="1" x14ac:dyDescent="0.3">
      <c r="A90" s="196" t="s">
        <v>141</v>
      </c>
      <c r="B90" s="196"/>
      <c r="C90" s="196"/>
      <c r="D90" s="196"/>
      <c r="E90" s="196"/>
      <c r="F90" s="196"/>
      <c r="G90" s="196"/>
      <c r="H90" s="196"/>
      <c r="I90" s="196"/>
      <c r="J90" s="196"/>
      <c r="K90" s="71">
        <f>K85/O18</f>
        <v>15.778008737990024</v>
      </c>
      <c r="L90" s="63" t="s">
        <v>50</v>
      </c>
    </row>
    <row r="94" spans="1:20" s="10" customFormat="1" x14ac:dyDescent="0.25"/>
    <row r="95" spans="1:20" s="11" customFormat="1" ht="18.75" x14ac:dyDescent="0.3">
      <c r="B95" s="12" t="s">
        <v>69</v>
      </c>
      <c r="D95" s="188" t="s">
        <v>65</v>
      </c>
      <c r="E95" s="188"/>
      <c r="L95" s="12" t="s">
        <v>69</v>
      </c>
      <c r="M95" s="12"/>
      <c r="N95" s="12" t="s">
        <v>75</v>
      </c>
      <c r="O95" s="12"/>
    </row>
    <row r="96" spans="1:20" s="11" customFormat="1" x14ac:dyDescent="0.25"/>
    <row r="97" spans="2:18" s="11" customFormat="1" x14ac:dyDescent="0.25">
      <c r="B97" s="184" t="s">
        <v>66</v>
      </c>
      <c r="C97" s="184"/>
      <c r="D97" s="13"/>
      <c r="E97" s="13"/>
      <c r="F97" s="189">
        <v>288912</v>
      </c>
      <c r="G97" s="189"/>
      <c r="L97" s="13" t="s">
        <v>66</v>
      </c>
      <c r="M97" s="13"/>
      <c r="N97" s="13"/>
      <c r="O97" s="13"/>
      <c r="P97" s="13"/>
      <c r="Q97" s="30">
        <v>271500</v>
      </c>
    </row>
    <row r="98" spans="2:18" s="11" customFormat="1" x14ac:dyDescent="0.25">
      <c r="B98" s="13" t="s">
        <v>67</v>
      </c>
      <c r="D98" s="13"/>
      <c r="E98" s="13"/>
      <c r="F98" s="185">
        <v>10</v>
      </c>
      <c r="G98" s="185"/>
      <c r="H98" s="11" t="s">
        <v>154</v>
      </c>
      <c r="L98" s="13" t="s">
        <v>67</v>
      </c>
      <c r="M98" s="13"/>
      <c r="N98" s="13"/>
      <c r="O98" s="13"/>
      <c r="P98" s="13"/>
      <c r="Q98" s="13">
        <v>10</v>
      </c>
      <c r="R98" s="11" t="s">
        <v>154</v>
      </c>
    </row>
    <row r="99" spans="2:18" s="11" customFormat="1" x14ac:dyDescent="0.25">
      <c r="B99" s="13" t="s">
        <v>81</v>
      </c>
      <c r="D99" s="13"/>
      <c r="E99" s="13"/>
      <c r="F99" s="14"/>
      <c r="G99" s="14">
        <v>2018</v>
      </c>
      <c r="L99" s="13" t="s">
        <v>81</v>
      </c>
      <c r="N99" s="13"/>
      <c r="O99" s="13"/>
      <c r="P99" s="14"/>
      <c r="Q99" s="14">
        <v>2018</v>
      </c>
    </row>
    <row r="100" spans="2:18" s="11" customFormat="1" x14ac:dyDescent="0.25">
      <c r="B100" s="184" t="s">
        <v>68</v>
      </c>
      <c r="C100" s="184"/>
      <c r="D100" s="184"/>
      <c r="F100" s="185">
        <v>6</v>
      </c>
      <c r="G100" s="185"/>
      <c r="L100" s="13" t="s">
        <v>76</v>
      </c>
      <c r="M100" s="13"/>
      <c r="N100" s="13"/>
      <c r="O100" s="13"/>
      <c r="P100" s="13"/>
      <c r="Q100" s="13">
        <v>6</v>
      </c>
    </row>
    <row r="101" spans="2:18" s="11" customFormat="1" x14ac:dyDescent="0.25">
      <c r="B101" s="184" t="s">
        <v>71</v>
      </c>
      <c r="C101" s="184"/>
      <c r="D101" s="184"/>
      <c r="F101" s="14"/>
      <c r="G101" s="17">
        <v>100000</v>
      </c>
      <c r="L101" s="13" t="s">
        <v>71</v>
      </c>
      <c r="M101" s="13"/>
      <c r="N101" s="13"/>
      <c r="O101" s="13"/>
      <c r="P101" s="13"/>
      <c r="Q101" s="19">
        <v>100000</v>
      </c>
    </row>
    <row r="102" spans="2:18" s="11" customFormat="1" x14ac:dyDescent="0.25">
      <c r="B102" s="184" t="s">
        <v>72</v>
      </c>
      <c r="C102" s="184"/>
      <c r="D102" s="184"/>
      <c r="F102" s="14"/>
      <c r="G102" s="20">
        <v>1533.77</v>
      </c>
      <c r="L102" s="13" t="s">
        <v>72</v>
      </c>
      <c r="M102" s="13"/>
      <c r="N102" s="13"/>
      <c r="O102" s="13"/>
      <c r="P102" s="13"/>
      <c r="Q102" s="69">
        <v>860.69</v>
      </c>
    </row>
    <row r="103" spans="2:18" s="11" customFormat="1" x14ac:dyDescent="0.25">
      <c r="B103" s="184" t="s">
        <v>73</v>
      </c>
      <c r="C103" s="184"/>
      <c r="D103" s="15"/>
      <c r="F103" s="14"/>
      <c r="G103" s="14">
        <v>2.6</v>
      </c>
      <c r="H103" s="13" t="s">
        <v>74</v>
      </c>
      <c r="L103" s="13" t="s">
        <v>73</v>
      </c>
      <c r="M103" s="13"/>
      <c r="N103" s="13"/>
      <c r="O103" s="13"/>
      <c r="P103" s="13"/>
      <c r="Q103" s="13">
        <v>4.7</v>
      </c>
    </row>
    <row r="104" spans="2:18" s="11" customFormat="1" x14ac:dyDescent="0.25">
      <c r="B104" s="184" t="s">
        <v>70</v>
      </c>
      <c r="C104" s="184"/>
      <c r="D104" s="184"/>
      <c r="F104" s="185" t="s">
        <v>125</v>
      </c>
      <c r="G104" s="185"/>
      <c r="L104" s="13" t="s">
        <v>70</v>
      </c>
      <c r="M104" s="13"/>
      <c r="N104" s="13"/>
      <c r="O104" s="13"/>
      <c r="P104" s="13"/>
      <c r="Q104" s="13" t="s">
        <v>124</v>
      </c>
    </row>
    <row r="105" spans="2:18" s="11" customFormat="1" x14ac:dyDescent="0.25"/>
    <row r="106" spans="2:18" s="11" customFormat="1" x14ac:dyDescent="0.25"/>
    <row r="107" spans="2:18" s="11" customFormat="1" ht="18.75" x14ac:dyDescent="0.3">
      <c r="B107" s="12" t="s">
        <v>69</v>
      </c>
      <c r="C107" s="12"/>
      <c r="D107" s="12" t="s">
        <v>77</v>
      </c>
      <c r="E107" s="13"/>
      <c r="F107" s="13"/>
      <c r="G107" s="13"/>
      <c r="H107" s="13"/>
      <c r="L107" s="12" t="s">
        <v>69</v>
      </c>
      <c r="M107" s="16"/>
      <c r="N107" s="16"/>
      <c r="O107" s="12" t="s">
        <v>78</v>
      </c>
    </row>
    <row r="108" spans="2:18" s="11" customFormat="1" x14ac:dyDescent="0.25">
      <c r="B108" s="13"/>
      <c r="C108" s="13"/>
      <c r="D108" s="13"/>
      <c r="E108" s="13"/>
      <c r="F108" s="13"/>
      <c r="G108" s="13"/>
      <c r="H108" s="13"/>
    </row>
    <row r="109" spans="2:18" s="11" customFormat="1" x14ac:dyDescent="0.25">
      <c r="B109" s="184" t="s">
        <v>66</v>
      </c>
      <c r="C109" s="184"/>
      <c r="D109" s="13"/>
      <c r="E109" s="13"/>
      <c r="F109" s="185">
        <v>400</v>
      </c>
      <c r="G109" s="185"/>
      <c r="H109" s="13"/>
      <c r="L109" s="184" t="s">
        <v>66</v>
      </c>
      <c r="M109" s="184"/>
      <c r="N109" s="13"/>
      <c r="O109" s="13"/>
      <c r="P109" s="185" t="s">
        <v>78</v>
      </c>
      <c r="Q109" s="185"/>
      <c r="R109" s="13"/>
    </row>
    <row r="110" spans="2:18" s="11" customFormat="1" x14ac:dyDescent="0.25">
      <c r="B110" s="13" t="s">
        <v>67</v>
      </c>
      <c r="C110" s="13"/>
      <c r="D110" s="13"/>
      <c r="E110" s="13"/>
      <c r="F110" s="185">
        <v>10</v>
      </c>
      <c r="G110" s="185"/>
      <c r="H110" s="13" t="s">
        <v>154</v>
      </c>
      <c r="L110" s="13" t="s">
        <v>67</v>
      </c>
      <c r="M110" s="13"/>
      <c r="N110" s="13"/>
      <c r="O110" s="13"/>
      <c r="P110" s="185">
        <v>8</v>
      </c>
      <c r="Q110" s="185"/>
      <c r="R110" s="13" t="s">
        <v>154</v>
      </c>
    </row>
    <row r="111" spans="2:18" s="11" customFormat="1" x14ac:dyDescent="0.25">
      <c r="B111" s="13" t="s">
        <v>81</v>
      </c>
      <c r="D111" s="13"/>
      <c r="E111" s="13"/>
      <c r="F111" s="14"/>
      <c r="G111" s="14" t="s">
        <v>82</v>
      </c>
      <c r="L111" s="13" t="s">
        <v>81</v>
      </c>
      <c r="N111" s="13"/>
      <c r="O111" s="13"/>
      <c r="P111" s="14"/>
      <c r="Q111" s="14" t="s">
        <v>83</v>
      </c>
      <c r="R111" s="13"/>
    </row>
    <row r="112" spans="2:18" s="11" customFormat="1" x14ac:dyDescent="0.25">
      <c r="B112" s="184" t="s">
        <v>68</v>
      </c>
      <c r="C112" s="184"/>
      <c r="D112" s="184"/>
      <c r="E112" s="13"/>
      <c r="F112" s="185" t="s">
        <v>87</v>
      </c>
      <c r="G112" s="185"/>
      <c r="H112" s="13"/>
      <c r="L112" s="184" t="s">
        <v>68</v>
      </c>
      <c r="M112" s="184"/>
      <c r="N112" s="184"/>
      <c r="O112" s="13"/>
      <c r="P112" s="185" t="s">
        <v>88</v>
      </c>
      <c r="Q112" s="185"/>
      <c r="R112" s="13"/>
    </row>
    <row r="113" spans="2:21" s="11" customFormat="1" x14ac:dyDescent="0.25">
      <c r="B113" s="184" t="s">
        <v>71</v>
      </c>
      <c r="C113" s="184"/>
      <c r="D113" s="184"/>
      <c r="E113" s="13"/>
      <c r="F113" s="14"/>
      <c r="G113" s="14" t="s">
        <v>89</v>
      </c>
      <c r="H113" s="13"/>
      <c r="L113" s="184" t="s">
        <v>71</v>
      </c>
      <c r="M113" s="184"/>
      <c r="N113" s="184"/>
      <c r="O113" s="13"/>
      <c r="P113" s="14"/>
      <c r="Q113" s="14" t="s">
        <v>90</v>
      </c>
      <c r="R113" s="13"/>
    </row>
    <row r="114" spans="2:21" s="11" customFormat="1" x14ac:dyDescent="0.25">
      <c r="B114" s="184" t="s">
        <v>72</v>
      </c>
      <c r="C114" s="184"/>
      <c r="D114" s="184"/>
      <c r="E114" s="13"/>
      <c r="F114" s="14"/>
      <c r="G114" s="14">
        <v>400</v>
      </c>
      <c r="H114" s="13"/>
      <c r="L114" s="184" t="s">
        <v>72</v>
      </c>
      <c r="M114" s="184"/>
      <c r="N114" s="184"/>
      <c r="O114" s="13"/>
      <c r="P114" s="14"/>
      <c r="Q114" s="14">
        <v>4444</v>
      </c>
      <c r="R114" s="13"/>
    </row>
    <row r="115" spans="2:21" s="11" customFormat="1" x14ac:dyDescent="0.25">
      <c r="B115" s="184" t="s">
        <v>73</v>
      </c>
      <c r="C115" s="184"/>
      <c r="D115" s="15"/>
      <c r="E115" s="13"/>
      <c r="F115" s="14"/>
      <c r="G115" s="14">
        <v>2</v>
      </c>
      <c r="H115" s="13" t="s">
        <v>74</v>
      </c>
      <c r="L115" s="184" t="s">
        <v>73</v>
      </c>
      <c r="M115" s="184"/>
      <c r="N115" s="15"/>
      <c r="O115" s="13"/>
      <c r="P115" s="14"/>
      <c r="Q115" s="14">
        <v>4</v>
      </c>
      <c r="R115" s="13" t="s">
        <v>74</v>
      </c>
    </row>
    <row r="116" spans="2:21" s="11" customFormat="1" x14ac:dyDescent="0.25">
      <c r="B116" s="184" t="s">
        <v>70</v>
      </c>
      <c r="C116" s="184"/>
      <c r="D116" s="184"/>
      <c r="E116" s="13"/>
      <c r="F116" s="185" t="s">
        <v>85</v>
      </c>
      <c r="G116" s="185"/>
      <c r="H116" s="13"/>
      <c r="L116" s="184" t="s">
        <v>70</v>
      </c>
      <c r="M116" s="184"/>
      <c r="N116" s="184"/>
      <c r="O116" s="13"/>
      <c r="P116" s="185" t="s">
        <v>86</v>
      </c>
      <c r="Q116" s="185"/>
      <c r="R116" s="13"/>
    </row>
    <row r="117" spans="2:21" s="11" customFormat="1" x14ac:dyDescent="0.25"/>
    <row r="118" spans="2:21" s="11" customFormat="1" x14ac:dyDescent="0.25"/>
    <row r="119" spans="2:21" s="11" customFormat="1" ht="18.75" x14ac:dyDescent="0.3">
      <c r="Q119" s="12" t="s">
        <v>65</v>
      </c>
      <c r="R119" s="12"/>
      <c r="T119" s="13" t="s">
        <v>130</v>
      </c>
      <c r="U119" s="13"/>
    </row>
    <row r="120" spans="2:21" s="11" customFormat="1" ht="18.75" x14ac:dyDescent="0.3">
      <c r="Q120" s="12" t="s">
        <v>75</v>
      </c>
      <c r="T120" s="13" t="s">
        <v>129</v>
      </c>
      <c r="U120" s="13"/>
    </row>
    <row r="121" spans="2:21" s="11" customFormat="1" ht="18.75" x14ac:dyDescent="0.3">
      <c r="Q121" s="12" t="s">
        <v>77</v>
      </c>
    </row>
    <row r="122" spans="2:21" s="11" customFormat="1" ht="18" customHeight="1" x14ac:dyDescent="0.3">
      <c r="B122" s="186" t="s">
        <v>172</v>
      </c>
      <c r="C122" s="186"/>
      <c r="Q122" s="12" t="s">
        <v>78</v>
      </c>
    </row>
    <row r="123" spans="2:21" ht="0.75" hidden="1" customHeight="1" x14ac:dyDescent="0.25">
      <c r="B123" s="186"/>
      <c r="C123" s="186"/>
    </row>
    <row r="124" spans="2:21" hidden="1" x14ac:dyDescent="0.25">
      <c r="B124" s="186"/>
      <c r="C124" s="186"/>
    </row>
    <row r="125" spans="2:21" x14ac:dyDescent="0.25">
      <c r="B125" s="186"/>
      <c r="C125" s="186"/>
    </row>
    <row r="126" spans="2:21" ht="24.75" x14ac:dyDescent="0.25">
      <c r="B126" s="94" t="s">
        <v>173</v>
      </c>
      <c r="C126" s="9" t="s">
        <v>174</v>
      </c>
      <c r="D126" s="9"/>
      <c r="E126" s="9"/>
      <c r="F126" s="9" t="s">
        <v>175</v>
      </c>
      <c r="G126" s="9"/>
      <c r="H126" s="9"/>
      <c r="I126" s="9" t="s">
        <v>176</v>
      </c>
      <c r="J126" s="9"/>
      <c r="K126" s="9"/>
      <c r="L126" s="9" t="s">
        <v>177</v>
      </c>
      <c r="M126" s="9"/>
      <c r="N126" s="9"/>
    </row>
    <row r="127" spans="2:21" x14ac:dyDescent="0.25">
      <c r="B127" s="5">
        <v>40</v>
      </c>
      <c r="C127" s="2">
        <f>$K$42*(B127*21)</f>
        <v>4049.0369329846144</v>
      </c>
      <c r="F127" s="2">
        <f>(C127+$K$65)*0.05</f>
        <v>1159.2990955593639</v>
      </c>
      <c r="I127" s="2">
        <f>(C127+$K$65+F127)*6%</f>
        <v>1460.7168604047984</v>
      </c>
      <c r="L127" s="31">
        <f>(C127+$K$65+F127+I127)*14.25%</f>
        <v>3677.3546960690801</v>
      </c>
      <c r="M127" s="9"/>
      <c r="N127" s="9"/>
    </row>
    <row r="128" spans="2:21" x14ac:dyDescent="0.25">
      <c r="B128" s="5">
        <v>50</v>
      </c>
      <c r="C128" s="2">
        <f t="shared" ref="C128:C139" si="0">$K$42*(B128*21)</f>
        <v>5061.296166230768</v>
      </c>
      <c r="F128" s="2">
        <f t="shared" ref="F128:F139" si="1">(C128+$K$65)*0.05</f>
        <v>1209.9120572216716</v>
      </c>
      <c r="I128" s="2">
        <f t="shared" ref="I128:I139" si="2">(C128+$K$65+F128)*6%</f>
        <v>1524.4891920993061</v>
      </c>
      <c r="L128" s="31">
        <f t="shared" ref="L128:L139" si="3">(C128+$K$65+F128+I128)*14.25%</f>
        <v>3837.9015411100031</v>
      </c>
      <c r="M128" s="9"/>
      <c r="N128" s="9"/>
    </row>
    <row r="129" spans="2:14" x14ac:dyDescent="0.25">
      <c r="B129" s="5">
        <v>60</v>
      </c>
      <c r="C129" s="2">
        <f t="shared" si="0"/>
        <v>6073.5553994769216</v>
      </c>
      <c r="F129" s="2">
        <f t="shared" si="1"/>
        <v>1260.5250188839793</v>
      </c>
      <c r="I129" s="2">
        <f t="shared" si="2"/>
        <v>1588.2615237938137</v>
      </c>
      <c r="L129" s="31">
        <f t="shared" si="3"/>
        <v>3998.4483861509261</v>
      </c>
      <c r="M129" s="9"/>
      <c r="N129" s="9"/>
    </row>
    <row r="130" spans="2:14" x14ac:dyDescent="0.25">
      <c r="B130" s="5">
        <v>70</v>
      </c>
      <c r="C130" s="2">
        <f t="shared" si="0"/>
        <v>7085.8146327230752</v>
      </c>
      <c r="F130" s="2">
        <f t="shared" si="1"/>
        <v>1311.1379805462871</v>
      </c>
      <c r="I130" s="2">
        <f t="shared" si="2"/>
        <v>1652.0338554883215</v>
      </c>
      <c r="L130" s="31">
        <f t="shared" si="3"/>
        <v>4158.9952311918487</v>
      </c>
      <c r="M130" s="9"/>
      <c r="N130" s="9"/>
    </row>
    <row r="131" spans="2:14" x14ac:dyDescent="0.25">
      <c r="B131" s="5">
        <v>80</v>
      </c>
      <c r="C131" s="2">
        <f t="shared" si="0"/>
        <v>8098.0738659692288</v>
      </c>
      <c r="F131" s="2">
        <f t="shared" si="1"/>
        <v>1361.7509422085948</v>
      </c>
      <c r="I131" s="2">
        <f t="shared" si="2"/>
        <v>1715.806187182829</v>
      </c>
      <c r="L131" s="31">
        <f t="shared" si="3"/>
        <v>4319.5420762327722</v>
      </c>
      <c r="M131" s="9"/>
      <c r="N131" s="9"/>
    </row>
    <row r="132" spans="2:14" x14ac:dyDescent="0.25">
      <c r="B132" s="5">
        <v>90</v>
      </c>
      <c r="C132" s="2">
        <f t="shared" si="0"/>
        <v>9110.3330992153824</v>
      </c>
      <c r="F132" s="2">
        <f t="shared" si="1"/>
        <v>1412.3639038709025</v>
      </c>
      <c r="I132" s="2">
        <f t="shared" si="2"/>
        <v>1779.578518877337</v>
      </c>
      <c r="L132" s="31">
        <f t="shared" si="3"/>
        <v>4480.0889212736956</v>
      </c>
      <c r="M132" s="9"/>
      <c r="N132" s="9"/>
    </row>
    <row r="133" spans="2:14" x14ac:dyDescent="0.25">
      <c r="B133" s="5">
        <v>100</v>
      </c>
      <c r="C133" s="2">
        <f t="shared" si="0"/>
        <v>10122.592332461536</v>
      </c>
      <c r="F133" s="2">
        <f t="shared" si="1"/>
        <v>1462.97686553321</v>
      </c>
      <c r="I133" s="2">
        <f t="shared" si="2"/>
        <v>1843.3508505718444</v>
      </c>
      <c r="L133" s="31">
        <f t="shared" si="3"/>
        <v>4640.6357663146182</v>
      </c>
      <c r="M133" s="9"/>
      <c r="N133" s="9"/>
    </row>
    <row r="134" spans="2:14" x14ac:dyDescent="0.25">
      <c r="B134" s="5">
        <v>110</v>
      </c>
      <c r="C134" s="2">
        <f t="shared" si="0"/>
        <v>11134.85156570769</v>
      </c>
      <c r="F134" s="2">
        <f t="shared" si="1"/>
        <v>1513.5898271955177</v>
      </c>
      <c r="I134" s="2">
        <f t="shared" si="2"/>
        <v>1907.1231822663524</v>
      </c>
      <c r="L134" s="31">
        <f t="shared" si="3"/>
        <v>4801.1826113555417</v>
      </c>
      <c r="M134" s="9"/>
      <c r="N134" s="9"/>
    </row>
    <row r="135" spans="2:14" x14ac:dyDescent="0.25">
      <c r="B135" s="5">
        <v>120</v>
      </c>
      <c r="C135" s="2">
        <f t="shared" si="0"/>
        <v>12147.110798953843</v>
      </c>
      <c r="F135" s="2">
        <f t="shared" si="1"/>
        <v>1564.2027888578255</v>
      </c>
      <c r="I135" s="2">
        <f t="shared" si="2"/>
        <v>1970.8955139608597</v>
      </c>
      <c r="L135" s="31">
        <f t="shared" si="3"/>
        <v>4961.7294563964642</v>
      </c>
      <c r="M135" s="9"/>
      <c r="N135" s="9"/>
    </row>
    <row r="136" spans="2:14" x14ac:dyDescent="0.25">
      <c r="B136" s="5">
        <v>130</v>
      </c>
      <c r="C136" s="2">
        <f t="shared" si="0"/>
        <v>13159.370032199997</v>
      </c>
      <c r="F136" s="2">
        <f t="shared" si="1"/>
        <v>1614.8157505201332</v>
      </c>
      <c r="I136" s="2">
        <f t="shared" si="2"/>
        <v>2034.6678456553677</v>
      </c>
      <c r="L136" s="31">
        <f t="shared" si="3"/>
        <v>5122.2763014373886</v>
      </c>
      <c r="M136" s="9"/>
      <c r="N136" s="9"/>
    </row>
    <row r="137" spans="2:14" x14ac:dyDescent="0.25">
      <c r="B137" s="5">
        <v>140</v>
      </c>
      <c r="C137" s="2">
        <f t="shared" si="0"/>
        <v>14171.62926544615</v>
      </c>
      <c r="F137" s="2">
        <f t="shared" si="1"/>
        <v>1665.4287121824409</v>
      </c>
      <c r="I137" s="2">
        <f t="shared" si="2"/>
        <v>2098.4401773498753</v>
      </c>
      <c r="L137" s="31">
        <f t="shared" si="3"/>
        <v>5282.8231464783103</v>
      </c>
      <c r="M137" s="9"/>
      <c r="N137" s="9"/>
    </row>
    <row r="138" spans="2:14" x14ac:dyDescent="0.25">
      <c r="B138" s="5">
        <v>150</v>
      </c>
      <c r="C138" s="2">
        <f t="shared" si="0"/>
        <v>15183.888498692304</v>
      </c>
      <c r="F138" s="2">
        <f t="shared" si="1"/>
        <v>1716.0416738447486</v>
      </c>
      <c r="I138" s="2">
        <f t="shared" si="2"/>
        <v>2162.2125090443828</v>
      </c>
      <c r="L138" s="31">
        <f t="shared" si="3"/>
        <v>5443.3699915192337</v>
      </c>
      <c r="M138" s="9"/>
      <c r="N138" s="9"/>
    </row>
    <row r="139" spans="2:14" x14ac:dyDescent="0.25">
      <c r="B139" s="5">
        <v>160</v>
      </c>
      <c r="C139" s="2">
        <f t="shared" si="0"/>
        <v>16196.147731938458</v>
      </c>
      <c r="F139" s="2">
        <f t="shared" si="1"/>
        <v>1766.6546355070561</v>
      </c>
      <c r="I139" s="2">
        <f t="shared" si="2"/>
        <v>2225.9848407388904</v>
      </c>
      <c r="L139" s="31">
        <f t="shared" si="3"/>
        <v>5603.9168365601563</v>
      </c>
      <c r="M139" s="9"/>
      <c r="N139" s="9"/>
    </row>
    <row r="140" spans="2:14" x14ac:dyDescent="0.25">
      <c r="B140" s="5"/>
    </row>
    <row r="143" spans="2:14" x14ac:dyDescent="0.25">
      <c r="B143" s="187" t="s">
        <v>178</v>
      </c>
      <c r="C143" s="187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</row>
    <row r="144" spans="2:14" x14ac:dyDescent="0.25">
      <c r="B144" s="187"/>
      <c r="C144" s="187"/>
    </row>
    <row r="145" spans="2:14" x14ac:dyDescent="0.25">
      <c r="B145" s="187"/>
      <c r="C145" s="187"/>
    </row>
    <row r="146" spans="2:14" x14ac:dyDescent="0.25">
      <c r="B146" s="187"/>
      <c r="C146" s="187"/>
    </row>
    <row r="147" spans="2:14" ht="24.75" x14ac:dyDescent="0.25">
      <c r="B147" s="94" t="s">
        <v>173</v>
      </c>
      <c r="C147" s="9" t="s">
        <v>174</v>
      </c>
      <c r="D147" s="9"/>
      <c r="E147" s="9"/>
      <c r="F147" s="9" t="s">
        <v>175</v>
      </c>
      <c r="G147" s="9"/>
      <c r="H147" s="9"/>
      <c r="I147" s="9" t="s">
        <v>176</v>
      </c>
      <c r="J147" s="9"/>
      <c r="K147" s="9"/>
      <c r="L147" s="9" t="s">
        <v>177</v>
      </c>
      <c r="M147" s="9"/>
      <c r="N147" s="9"/>
    </row>
    <row r="148" spans="2:14" x14ac:dyDescent="0.25">
      <c r="B148" s="5">
        <v>40</v>
      </c>
      <c r="C148" s="2">
        <f>($K$42*(B148*21))*1.154</f>
        <v>4672.5886206642444</v>
      </c>
      <c r="F148" s="2">
        <f>(C148+$K$65)*0.05</f>
        <v>1190.4766799433455</v>
      </c>
      <c r="I148" s="2">
        <f>(C148+$K$65+F148)*6%</f>
        <v>1500.0006167286153</v>
      </c>
      <c r="L148" s="31">
        <f>(C148+$K$65+F148+I148)*14.25%</f>
        <v>3776.2515526142888</v>
      </c>
      <c r="M148" s="9"/>
      <c r="N148" s="9"/>
    </row>
    <row r="149" spans="2:14" x14ac:dyDescent="0.25">
      <c r="B149" s="5">
        <v>50</v>
      </c>
      <c r="C149" s="2">
        <f t="shared" ref="C149:C160" si="4">($K$42*(B149*21))*1.154</f>
        <v>5840.735775830306</v>
      </c>
      <c r="F149" s="2">
        <f t="shared" ref="F149:F160" si="5">(C149+$K$65)*0.05</f>
        <v>1248.8840377016486</v>
      </c>
      <c r="I149" s="2">
        <f t="shared" ref="I149:I160" si="6">(C149+$K$65+F149)*6%</f>
        <v>1573.593887504077</v>
      </c>
      <c r="L149" s="31">
        <f t="shared" ref="L149:L160" si="7">(C149+$K$65+F149+I149)*14.25%</f>
        <v>3961.5226117915136</v>
      </c>
      <c r="M149" s="9"/>
      <c r="N149" s="9"/>
    </row>
    <row r="150" spans="2:14" x14ac:dyDescent="0.25">
      <c r="B150" s="5">
        <v>60</v>
      </c>
      <c r="C150" s="2">
        <f t="shared" si="4"/>
        <v>7008.8829309963667</v>
      </c>
      <c r="F150" s="2">
        <f t="shared" si="5"/>
        <v>1307.2913954599517</v>
      </c>
      <c r="I150" s="2">
        <f t="shared" si="6"/>
        <v>1647.1871582795388</v>
      </c>
      <c r="L150" s="31">
        <f t="shared" si="7"/>
        <v>4146.7936709687392</v>
      </c>
      <c r="M150" s="9"/>
      <c r="N150" s="9"/>
    </row>
    <row r="151" spans="2:14" x14ac:dyDescent="0.25">
      <c r="B151" s="5">
        <v>70</v>
      </c>
      <c r="C151" s="2">
        <f t="shared" si="4"/>
        <v>8177.0300861624282</v>
      </c>
      <c r="F151" s="2">
        <f t="shared" si="5"/>
        <v>1365.6987532182548</v>
      </c>
      <c r="I151" s="2">
        <f t="shared" si="6"/>
        <v>1720.7804290550007</v>
      </c>
      <c r="L151" s="31">
        <f t="shared" si="7"/>
        <v>4332.0647301459639</v>
      </c>
      <c r="M151" s="9"/>
      <c r="N151" s="9"/>
    </row>
    <row r="152" spans="2:14" x14ac:dyDescent="0.25">
      <c r="B152" s="5">
        <v>80</v>
      </c>
      <c r="C152" s="2">
        <f t="shared" si="4"/>
        <v>9345.1772413284889</v>
      </c>
      <c r="F152" s="2">
        <f t="shared" si="5"/>
        <v>1424.1061109765578</v>
      </c>
      <c r="I152" s="2">
        <f t="shared" si="6"/>
        <v>1794.3736998304626</v>
      </c>
      <c r="L152" s="31">
        <f t="shared" si="7"/>
        <v>4517.3357893231896</v>
      </c>
      <c r="M152" s="9"/>
      <c r="N152" s="9"/>
    </row>
    <row r="153" spans="2:14" x14ac:dyDescent="0.25">
      <c r="B153" s="5">
        <v>90</v>
      </c>
      <c r="C153" s="2">
        <f t="shared" si="4"/>
        <v>10513.32439649455</v>
      </c>
      <c r="F153" s="2">
        <f t="shared" si="5"/>
        <v>1482.5134687348609</v>
      </c>
      <c r="I153" s="2">
        <f t="shared" si="6"/>
        <v>1867.9669706059244</v>
      </c>
      <c r="L153" s="31">
        <f t="shared" si="7"/>
        <v>4702.6068485004143</v>
      </c>
      <c r="M153" s="9"/>
      <c r="N153" s="9"/>
    </row>
    <row r="154" spans="2:14" x14ac:dyDescent="0.25">
      <c r="B154" s="5">
        <v>100</v>
      </c>
      <c r="C154" s="2">
        <f t="shared" si="4"/>
        <v>11681.471551660612</v>
      </c>
      <c r="F154" s="2">
        <f t="shared" si="5"/>
        <v>1540.920826493164</v>
      </c>
      <c r="I154" s="2">
        <f t="shared" si="6"/>
        <v>1941.5602413813863</v>
      </c>
      <c r="L154" s="31">
        <f t="shared" si="7"/>
        <v>4887.8779076776391</v>
      </c>
      <c r="M154" s="9"/>
      <c r="N154" s="9"/>
    </row>
    <row r="155" spans="2:14" x14ac:dyDescent="0.25">
      <c r="B155" s="5">
        <v>110</v>
      </c>
      <c r="C155" s="2">
        <f t="shared" si="4"/>
        <v>12849.618706826674</v>
      </c>
      <c r="F155" s="2">
        <f t="shared" si="5"/>
        <v>1599.3281842514671</v>
      </c>
      <c r="I155" s="2">
        <f t="shared" si="6"/>
        <v>2015.1535121568484</v>
      </c>
      <c r="L155" s="31">
        <f t="shared" si="7"/>
        <v>5073.1489668548647</v>
      </c>
      <c r="M155" s="9"/>
      <c r="N155" s="9"/>
    </row>
    <row r="156" spans="2:14" x14ac:dyDescent="0.25">
      <c r="B156" s="5">
        <v>120</v>
      </c>
      <c r="C156" s="2">
        <f t="shared" si="4"/>
        <v>14017.765861992733</v>
      </c>
      <c r="F156" s="2">
        <f t="shared" si="5"/>
        <v>1657.7355420097699</v>
      </c>
      <c r="I156" s="2">
        <f t="shared" si="6"/>
        <v>2088.7467829323095</v>
      </c>
      <c r="L156" s="31">
        <f t="shared" si="7"/>
        <v>5258.4200260320886</v>
      </c>
      <c r="M156" s="9"/>
      <c r="N156" s="9"/>
    </row>
    <row r="157" spans="2:14" x14ac:dyDescent="0.25">
      <c r="B157" s="5">
        <v>130</v>
      </c>
      <c r="C157" s="2">
        <f t="shared" si="4"/>
        <v>15185.913017158795</v>
      </c>
      <c r="F157" s="2">
        <f t="shared" si="5"/>
        <v>1716.1428997680732</v>
      </c>
      <c r="I157" s="2">
        <f t="shared" si="6"/>
        <v>2162.3400537077719</v>
      </c>
      <c r="L157" s="31">
        <f t="shared" si="7"/>
        <v>5443.6910852093151</v>
      </c>
      <c r="M157" s="9"/>
      <c r="N157" s="9"/>
    </row>
    <row r="158" spans="2:14" x14ac:dyDescent="0.25">
      <c r="B158" s="5">
        <v>140</v>
      </c>
      <c r="C158" s="2">
        <f t="shared" si="4"/>
        <v>16354.060172324856</v>
      </c>
      <c r="F158" s="2">
        <f t="shared" si="5"/>
        <v>1774.5502575263761</v>
      </c>
      <c r="I158" s="2">
        <f t="shared" si="6"/>
        <v>2235.9333244832337</v>
      </c>
      <c r="L158" s="31">
        <f t="shared" si="7"/>
        <v>5628.9621443865399</v>
      </c>
      <c r="M158" s="9"/>
      <c r="N158" s="9"/>
    </row>
    <row r="159" spans="2:14" x14ac:dyDescent="0.25">
      <c r="B159" s="5">
        <v>150</v>
      </c>
      <c r="C159" s="2">
        <f t="shared" si="4"/>
        <v>17522.207327490916</v>
      </c>
      <c r="F159" s="2">
        <f t="shared" si="5"/>
        <v>1832.9576152846794</v>
      </c>
      <c r="I159" s="2">
        <f t="shared" si="6"/>
        <v>2309.5265952586956</v>
      </c>
      <c r="L159" s="31">
        <f t="shared" si="7"/>
        <v>5814.2332035637655</v>
      </c>
      <c r="M159" s="9"/>
      <c r="N159" s="9"/>
    </row>
    <row r="160" spans="2:14" x14ac:dyDescent="0.25">
      <c r="B160" s="5">
        <v>160</v>
      </c>
      <c r="C160" s="2">
        <f t="shared" si="4"/>
        <v>18690.354482656978</v>
      </c>
      <c r="F160" s="2">
        <f t="shared" si="5"/>
        <v>1891.3649730429822</v>
      </c>
      <c r="I160" s="2">
        <f t="shared" si="6"/>
        <v>2383.1198660341574</v>
      </c>
      <c r="L160" s="31">
        <f t="shared" si="7"/>
        <v>5999.5042627409903</v>
      </c>
      <c r="M160" s="9"/>
      <c r="N160" s="9"/>
    </row>
  </sheetData>
  <mergeCells count="121">
    <mergeCell ref="B116:D116"/>
    <mergeCell ref="F116:G116"/>
    <mergeCell ref="L116:N116"/>
    <mergeCell ref="P116:Q116"/>
    <mergeCell ref="B122:C125"/>
    <mergeCell ref="B143:C146"/>
    <mergeCell ref="B113:D113"/>
    <mergeCell ref="L113:N113"/>
    <mergeCell ref="B114:D114"/>
    <mergeCell ref="L114:N114"/>
    <mergeCell ref="B115:C115"/>
    <mergeCell ref="L115:M115"/>
    <mergeCell ref="L109:M109"/>
    <mergeCell ref="P109:Q109"/>
    <mergeCell ref="F110:G110"/>
    <mergeCell ref="P110:Q110"/>
    <mergeCell ref="B112:D112"/>
    <mergeCell ref="F112:G112"/>
    <mergeCell ref="L112:N112"/>
    <mergeCell ref="P112:Q112"/>
    <mergeCell ref="B101:D101"/>
    <mergeCell ref="B102:D102"/>
    <mergeCell ref="B103:C103"/>
    <mergeCell ref="B104:D104"/>
    <mergeCell ref="F104:G104"/>
    <mergeCell ref="B109:C109"/>
    <mergeCell ref="F109:G109"/>
    <mergeCell ref="D95:E95"/>
    <mergeCell ref="B97:C97"/>
    <mergeCell ref="F97:G97"/>
    <mergeCell ref="F98:G98"/>
    <mergeCell ref="B100:D100"/>
    <mergeCell ref="F100:G100"/>
    <mergeCell ref="A79:J79"/>
    <mergeCell ref="A82:I82"/>
    <mergeCell ref="A84:H84"/>
    <mergeCell ref="A85:J85"/>
    <mergeCell ref="A89:J89"/>
    <mergeCell ref="A90:J90"/>
    <mergeCell ref="A74:E74"/>
    <mergeCell ref="A75:F75"/>
    <mergeCell ref="I75:J75"/>
    <mergeCell ref="I76:J76"/>
    <mergeCell ref="I77:J77"/>
    <mergeCell ref="I78:J78"/>
    <mergeCell ref="A65:J65"/>
    <mergeCell ref="A67:I67"/>
    <mergeCell ref="A69:E69"/>
    <mergeCell ref="I69:J69"/>
    <mergeCell ref="C70:F70"/>
    <mergeCell ref="C71:F71"/>
    <mergeCell ref="C54:F54"/>
    <mergeCell ref="C55:F55"/>
    <mergeCell ref="C58:F58"/>
    <mergeCell ref="C60:G60"/>
    <mergeCell ref="C62:E62"/>
    <mergeCell ref="C63:F63"/>
    <mergeCell ref="A49:E49"/>
    <mergeCell ref="H50:I50"/>
    <mergeCell ref="C51:F51"/>
    <mergeCell ref="H51:I51"/>
    <mergeCell ref="C52:F52"/>
    <mergeCell ref="C53:F53"/>
    <mergeCell ref="B41:D41"/>
    <mergeCell ref="F41:H41"/>
    <mergeCell ref="A42:E42"/>
    <mergeCell ref="A43:J43"/>
    <mergeCell ref="A45:J45"/>
    <mergeCell ref="A47:J47"/>
    <mergeCell ref="A36:E36"/>
    <mergeCell ref="B37:D37"/>
    <mergeCell ref="E37:F37"/>
    <mergeCell ref="B38:D38"/>
    <mergeCell ref="B39:D39"/>
    <mergeCell ref="B40:D40"/>
    <mergeCell ref="A28:D28"/>
    <mergeCell ref="E28:F28"/>
    <mergeCell ref="A31:F31"/>
    <mergeCell ref="A32:D32"/>
    <mergeCell ref="E32:F32"/>
    <mergeCell ref="A33:D33"/>
    <mergeCell ref="A25:D25"/>
    <mergeCell ref="E25:F25"/>
    <mergeCell ref="A26:D26"/>
    <mergeCell ref="E26:F26"/>
    <mergeCell ref="A27:D27"/>
    <mergeCell ref="E27:F27"/>
    <mergeCell ref="K18:N18"/>
    <mergeCell ref="A19:F19"/>
    <mergeCell ref="A20:F20"/>
    <mergeCell ref="A23:F23"/>
    <mergeCell ref="A24:D24"/>
    <mergeCell ref="E24:F24"/>
    <mergeCell ref="A16:D16"/>
    <mergeCell ref="E16:F16"/>
    <mergeCell ref="K16:N17"/>
    <mergeCell ref="H20:N21"/>
    <mergeCell ref="O16:O17"/>
    <mergeCell ref="P16:P17"/>
    <mergeCell ref="T17:V17"/>
    <mergeCell ref="A14:D14"/>
    <mergeCell ref="E14:F14"/>
    <mergeCell ref="K14:N15"/>
    <mergeCell ref="O14:O15"/>
    <mergeCell ref="P14:P15"/>
    <mergeCell ref="E15:F15"/>
    <mergeCell ref="A11:F11"/>
    <mergeCell ref="K11:N11"/>
    <mergeCell ref="A12:C12"/>
    <mergeCell ref="E12:F12"/>
    <mergeCell ref="K12:N12"/>
    <mergeCell ref="A13:D13"/>
    <mergeCell ref="E13:F13"/>
    <mergeCell ref="K13:N13"/>
    <mergeCell ref="C2:F6"/>
    <mergeCell ref="H3:P5"/>
    <mergeCell ref="F7:H7"/>
    <mergeCell ref="K7:N7"/>
    <mergeCell ref="B8:C8"/>
    <mergeCell ref="I9:P9"/>
    <mergeCell ref="A9:F9"/>
  </mergeCells>
  <conditionalFormatting sqref="P19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{D4504657-8B77-497C-AA6F-80CAD4A884F4}</x14:id>
        </ext>
      </extLst>
    </cfRule>
  </conditionalFormatting>
  <dataValidations disablePrompts="1" count="3">
    <dataValidation type="list" allowBlank="1" showInputMessage="1" showErrorMessage="1" sqref="E15:F15">
      <formula1>"0,1,2,3,4,5,6,7,8,9,10,11,12,13,14,15"</formula1>
    </dataValidation>
    <dataValidation type="list" allowBlank="1" showInputMessage="1" showErrorMessage="1" sqref="L51">
      <formula1>"LINEAR, MÉTODO COLE"</formula1>
    </dataValidation>
    <dataValidation type="list" allowBlank="1" showInputMessage="1" showErrorMessage="1" sqref="F7:H7 T17:V17">
      <formula1>$Q$119:$Q$122</formula1>
    </dataValidation>
  </dataValidations>
  <pageMargins left="0.51181102362204722" right="0.51181102362204722" top="0.78740157480314965" bottom="0.78740157480314965" header="0.31496062992125984" footer="0.31496062992125984"/>
  <pageSetup paperSize="9" scale="50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4504657-8B77-497C-AA6F-80CAD4A884F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P19</xm:sqref>
        </x14:conditionalFormatting>
      </x14:conditionalFormattings>
    </ext>
  </extLst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49">
    <tabColor rgb="FF00B0F0"/>
  </sheetPr>
  <dimension ref="A2:V160"/>
  <sheetViews>
    <sheetView tabSelected="1" view="pageBreakPreview" topLeftCell="A43" zoomScale="85" zoomScaleNormal="100" zoomScaleSheetLayoutView="85" workbookViewId="0">
      <selection activeCell="A57" sqref="A57"/>
    </sheetView>
  </sheetViews>
  <sheetFormatPr defaultColWidth="8.85546875" defaultRowHeight="15" x14ac:dyDescent="0.25"/>
  <cols>
    <col min="2" max="2" width="14.140625" customWidth="1"/>
    <col min="3" max="3" width="15.28515625" customWidth="1"/>
    <col min="5" max="5" width="12.42578125" customWidth="1"/>
    <col min="6" max="6" width="13.5703125" customWidth="1"/>
    <col min="7" max="7" width="12.140625" customWidth="1"/>
    <col min="9" max="9" width="10.7109375" customWidth="1"/>
    <col min="10" max="10" width="12.140625" bestFit="1" customWidth="1"/>
    <col min="11" max="11" width="16.42578125" bestFit="1" customWidth="1"/>
    <col min="12" max="12" width="14.42578125" customWidth="1"/>
    <col min="14" max="14" width="6.42578125" customWidth="1"/>
    <col min="15" max="15" width="9" customWidth="1"/>
    <col min="16" max="16" width="10.42578125" customWidth="1"/>
    <col min="17" max="17" width="15.140625" customWidth="1"/>
    <col min="18" max="18" width="14.7109375" bestFit="1" customWidth="1"/>
    <col min="19" max="19" width="19.42578125" bestFit="1" customWidth="1"/>
  </cols>
  <sheetData>
    <row r="2" spans="1:19" x14ac:dyDescent="0.25">
      <c r="C2" s="239" t="s">
        <v>151</v>
      </c>
      <c r="D2" s="240"/>
      <c r="E2" s="240"/>
      <c r="F2" s="240"/>
    </row>
    <row r="3" spans="1:19" x14ac:dyDescent="0.25">
      <c r="C3" s="240"/>
      <c r="D3" s="240"/>
      <c r="E3" s="240"/>
      <c r="F3" s="240"/>
      <c r="H3" s="241" t="s">
        <v>64</v>
      </c>
      <c r="I3" s="239"/>
      <c r="J3" s="239"/>
      <c r="K3" s="239"/>
      <c r="L3" s="239"/>
      <c r="M3" s="239"/>
      <c r="N3" s="239"/>
      <c r="O3" s="239"/>
      <c r="P3" s="239"/>
    </row>
    <row r="4" spans="1:19" x14ac:dyDescent="0.25">
      <c r="C4" s="240"/>
      <c r="D4" s="240"/>
      <c r="E4" s="240"/>
      <c r="F4" s="240"/>
      <c r="H4" s="239"/>
      <c r="I4" s="239"/>
      <c r="J4" s="239"/>
      <c r="K4" s="239"/>
      <c r="L4" s="239"/>
      <c r="M4" s="239"/>
      <c r="N4" s="239"/>
      <c r="O4" s="239"/>
      <c r="P4" s="239"/>
    </row>
    <row r="5" spans="1:19" x14ac:dyDescent="0.25">
      <c r="C5" s="240"/>
      <c r="D5" s="240"/>
      <c r="E5" s="240"/>
      <c r="F5" s="240"/>
      <c r="H5" s="239"/>
      <c r="I5" s="239"/>
      <c r="J5" s="239"/>
      <c r="K5" s="239"/>
      <c r="L5" s="239"/>
      <c r="M5" s="239"/>
      <c r="N5" s="239"/>
      <c r="O5" s="239"/>
      <c r="P5" s="239"/>
    </row>
    <row r="6" spans="1:19" x14ac:dyDescent="0.25">
      <c r="C6" s="240"/>
      <c r="D6" s="240"/>
      <c r="E6" s="240"/>
      <c r="F6" s="240"/>
    </row>
    <row r="7" spans="1:19" ht="21" x14ac:dyDescent="0.35">
      <c r="E7" s="18" t="s">
        <v>80</v>
      </c>
      <c r="F7" s="235" t="s">
        <v>65</v>
      </c>
      <c r="G7" s="235"/>
      <c r="H7" s="235"/>
      <c r="K7" s="242" t="s">
        <v>286</v>
      </c>
      <c r="L7" s="243"/>
      <c r="M7" s="243"/>
      <c r="N7" s="243"/>
    </row>
    <row r="8" spans="1:19" ht="15.75" x14ac:dyDescent="0.25">
      <c r="B8" s="194"/>
      <c r="C8" s="194"/>
      <c r="D8" s="8"/>
      <c r="E8" s="8"/>
      <c r="F8" s="8"/>
      <c r="J8" s="9"/>
    </row>
    <row r="9" spans="1:19" ht="21" x14ac:dyDescent="0.35">
      <c r="A9" s="235" t="s">
        <v>352</v>
      </c>
      <c r="B9" s="235"/>
      <c r="C9" s="235"/>
      <c r="D9" s="235"/>
      <c r="E9" s="235"/>
      <c r="F9" s="235"/>
      <c r="I9" s="244" t="s">
        <v>157</v>
      </c>
      <c r="J9" s="244"/>
      <c r="K9" s="244"/>
      <c r="L9" s="244"/>
      <c r="M9" s="244"/>
      <c r="N9" s="244"/>
      <c r="O9" s="244"/>
      <c r="P9" s="244"/>
      <c r="R9" s="9" t="s">
        <v>155</v>
      </c>
      <c r="S9" s="9" t="s">
        <v>156</v>
      </c>
    </row>
    <row r="10" spans="1:19" x14ac:dyDescent="0.25">
      <c r="R10" s="2">
        <f>K43</f>
        <v>344.16813930369221</v>
      </c>
      <c r="S10" s="43">
        <f>K45</f>
        <v>6060.6794620300307</v>
      </c>
    </row>
    <row r="11" spans="1:19" ht="17.25" x14ac:dyDescent="0.3">
      <c r="A11" s="236" t="s">
        <v>150</v>
      </c>
      <c r="B11" s="237"/>
      <c r="C11" s="237"/>
      <c r="D11" s="237"/>
      <c r="E11" s="237"/>
      <c r="F11" s="238"/>
      <c r="G11" s="40" t="s">
        <v>0</v>
      </c>
      <c r="K11" s="206" t="s">
        <v>15</v>
      </c>
      <c r="L11" s="206"/>
      <c r="M11" s="206"/>
      <c r="N11" s="206"/>
      <c r="O11" s="46">
        <f>O12+O13</f>
        <v>55.4</v>
      </c>
      <c r="P11" s="47" t="s">
        <v>14</v>
      </c>
      <c r="R11" s="130">
        <f>K65/O18*O14</f>
        <v>1174.4695473987192</v>
      </c>
      <c r="S11" s="130">
        <f>K65/O18*O16</f>
        <v>17962.475430803945</v>
      </c>
    </row>
    <row r="12" spans="1:19" ht="15.75" x14ac:dyDescent="0.25">
      <c r="A12" s="214" t="s">
        <v>107</v>
      </c>
      <c r="B12" s="215"/>
      <c r="C12" s="215"/>
      <c r="D12" s="48"/>
      <c r="E12" s="218">
        <f>Insumos!$B$4</f>
        <v>531068.38</v>
      </c>
      <c r="F12" s="218"/>
      <c r="G12" s="1"/>
      <c r="K12" s="206" t="s">
        <v>136</v>
      </c>
      <c r="L12" s="206"/>
      <c r="M12" s="206"/>
      <c r="N12" s="206"/>
      <c r="O12" s="150">
        <v>3.4</v>
      </c>
      <c r="P12" s="47" t="s">
        <v>14</v>
      </c>
      <c r="R12" s="2">
        <f>K72/O18*O14</f>
        <v>106.06648917952978</v>
      </c>
      <c r="S12" s="2">
        <f>K72/O18*O16</f>
        <v>1622.1933639222204</v>
      </c>
    </row>
    <row r="13" spans="1:19" ht="15.75" x14ac:dyDescent="0.25">
      <c r="A13" s="214" t="s">
        <v>285</v>
      </c>
      <c r="B13" s="215"/>
      <c r="C13" s="215"/>
      <c r="D13" s="216"/>
      <c r="E13" s="198">
        <f>'DEPRECIAÇÃO LINEAR'!D15</f>
        <v>10</v>
      </c>
      <c r="F13" s="198"/>
      <c r="K13" s="206" t="s">
        <v>137</v>
      </c>
      <c r="L13" s="206"/>
      <c r="M13" s="206"/>
      <c r="N13" s="206"/>
      <c r="O13" s="150">
        <v>52</v>
      </c>
      <c r="P13" s="47" t="s">
        <v>14</v>
      </c>
      <c r="R13" s="2">
        <f>K79/O18*O14</f>
        <v>158.47570083798925</v>
      </c>
      <c r="S13" s="2">
        <f>K79/O18*O16</f>
        <v>2423.7460128163066</v>
      </c>
    </row>
    <row r="14" spans="1:19" ht="15" customHeight="1" x14ac:dyDescent="0.25">
      <c r="A14" s="214" t="s">
        <v>23</v>
      </c>
      <c r="B14" s="215"/>
      <c r="C14" s="215"/>
      <c r="D14" s="216"/>
      <c r="E14" s="219">
        <v>2026</v>
      </c>
      <c r="F14" s="220"/>
      <c r="K14" s="223" t="s">
        <v>138</v>
      </c>
      <c r="L14" s="223"/>
      <c r="M14" s="223"/>
      <c r="N14" s="223"/>
      <c r="O14" s="232">
        <f>O12*21</f>
        <v>71.399999999999991</v>
      </c>
      <c r="P14" s="234" t="s">
        <v>14</v>
      </c>
      <c r="R14" s="2">
        <f>SUM(R10:R13)</f>
        <v>1783.1798767199305</v>
      </c>
      <c r="S14" s="2">
        <f>SUM(S10:S13)</f>
        <v>28069.094269572503</v>
      </c>
    </row>
    <row r="15" spans="1:19" ht="15.75" customHeight="1" x14ac:dyDescent="0.25">
      <c r="A15" s="49" t="s">
        <v>79</v>
      </c>
      <c r="B15" s="48"/>
      <c r="C15" s="48"/>
      <c r="D15" s="48"/>
      <c r="E15" s="198">
        <v>0</v>
      </c>
      <c r="F15" s="198"/>
      <c r="G15" s="41" t="s">
        <v>128</v>
      </c>
      <c r="I15" s="28"/>
      <c r="J15" s="28"/>
      <c r="K15" s="223"/>
      <c r="L15" s="223"/>
      <c r="M15" s="223"/>
      <c r="N15" s="223"/>
      <c r="O15" s="233"/>
      <c r="P15" s="234"/>
      <c r="R15" s="31">
        <f>IFERROR(R14/O14,0)</f>
        <v>24.974508077309952</v>
      </c>
      <c r="S15" s="31">
        <f>IFERROR(S14/O16,0)</f>
        <v>25.704298781659801</v>
      </c>
    </row>
    <row r="16" spans="1:19" ht="15" customHeight="1" x14ac:dyDescent="0.25">
      <c r="A16" s="214" t="s">
        <v>84</v>
      </c>
      <c r="B16" s="215"/>
      <c r="C16" s="215"/>
      <c r="D16" s="215"/>
      <c r="E16" s="198" t="str">
        <f>IF($F$7=$D$95,F104,IF($F$7=$D$107,F116,IF($F$7=$N$95,Q104,IF($F$7=$O$107,P116,""))))</f>
        <v>ATÉ 59 ALUNOS</v>
      </c>
      <c r="F16" s="198"/>
      <c r="I16" s="28"/>
      <c r="J16" s="28"/>
      <c r="K16" s="223" t="s">
        <v>139</v>
      </c>
      <c r="L16" s="223"/>
      <c r="M16" s="223"/>
      <c r="N16" s="223"/>
      <c r="O16" s="232">
        <f>O13*21</f>
        <v>1092</v>
      </c>
      <c r="P16" s="234" t="s">
        <v>14</v>
      </c>
    </row>
    <row r="17" spans="1:22" ht="15" customHeight="1" x14ac:dyDescent="0.35">
      <c r="I17" s="28"/>
      <c r="J17" s="28"/>
      <c r="K17" s="223"/>
      <c r="L17" s="223"/>
      <c r="M17" s="223"/>
      <c r="N17" s="223"/>
      <c r="O17" s="233"/>
      <c r="P17" s="234"/>
      <c r="R17" s="2">
        <f>R14+S14</f>
        <v>29852.274146292431</v>
      </c>
      <c r="T17" s="235"/>
      <c r="U17" s="235"/>
      <c r="V17" s="235"/>
    </row>
    <row r="18" spans="1:22" ht="15" customHeight="1" x14ac:dyDescent="0.25">
      <c r="I18" s="28"/>
      <c r="J18" s="28"/>
      <c r="K18" s="223" t="s">
        <v>140</v>
      </c>
      <c r="L18" s="223"/>
      <c r="M18" s="223"/>
      <c r="N18" s="223"/>
      <c r="O18" s="46">
        <f>O16+O14</f>
        <v>1163.4000000000001</v>
      </c>
      <c r="P18" s="47" t="s">
        <v>14</v>
      </c>
      <c r="R18" s="2">
        <f>R17/O18</f>
        <v>25.65951018247587</v>
      </c>
    </row>
    <row r="19" spans="1:22" ht="15.75" customHeight="1" thickBot="1" x14ac:dyDescent="0.35">
      <c r="A19" s="224" t="s">
        <v>1</v>
      </c>
      <c r="B19" s="225"/>
      <c r="C19" s="225"/>
      <c r="D19" s="225"/>
      <c r="E19" s="225"/>
      <c r="F19" s="225"/>
      <c r="I19" s="29"/>
      <c r="J19" s="29"/>
      <c r="K19" s="29"/>
      <c r="L19" s="29"/>
      <c r="M19" s="29"/>
    </row>
    <row r="20" spans="1:22" ht="15" customHeight="1" x14ac:dyDescent="0.25">
      <c r="A20" s="206" t="s">
        <v>106</v>
      </c>
      <c r="B20" s="206"/>
      <c r="C20" s="206"/>
      <c r="D20" s="206"/>
      <c r="E20" s="206"/>
      <c r="F20" s="206"/>
      <c r="H20" s="245" t="s">
        <v>310</v>
      </c>
      <c r="I20" s="246"/>
      <c r="J20" s="246"/>
      <c r="K20" s="246"/>
      <c r="L20" s="246"/>
      <c r="M20" s="246"/>
      <c r="N20" s="247"/>
      <c r="O20" s="93">
        <f>K90</f>
        <v>25.659510182475874</v>
      </c>
      <c r="R20" s="93">
        <f>K90</f>
        <v>25.659510182475874</v>
      </c>
    </row>
    <row r="21" spans="1:22" ht="15.75" thickBot="1" x14ac:dyDescent="0.3">
      <c r="H21" s="248"/>
      <c r="I21" s="249"/>
      <c r="J21" s="249"/>
      <c r="K21" s="249"/>
      <c r="L21" s="249"/>
      <c r="M21" s="249"/>
      <c r="N21" s="250"/>
      <c r="O21" s="2"/>
    </row>
    <row r="23" spans="1:22" ht="17.25" x14ac:dyDescent="0.3">
      <c r="A23" s="224" t="s">
        <v>2</v>
      </c>
      <c r="B23" s="225"/>
      <c r="C23" s="225"/>
      <c r="D23" s="225"/>
      <c r="E23" s="225"/>
      <c r="F23" s="225"/>
      <c r="L23" s="2"/>
    </row>
    <row r="24" spans="1:22" ht="15.75" x14ac:dyDescent="0.25">
      <c r="A24" s="214" t="s">
        <v>11</v>
      </c>
      <c r="B24" s="215"/>
      <c r="C24" s="215"/>
      <c r="D24" s="215"/>
      <c r="E24" s="198">
        <f>IF($F$7=$D$95,F100,IF($F$7=$D$107,F112,IF($F$7=$N$95,Q100,IF($F$7=$O$107,P112,""))))</f>
        <v>6</v>
      </c>
      <c r="F24" s="198"/>
    </row>
    <row r="25" spans="1:22" ht="15.75" x14ac:dyDescent="0.25">
      <c r="A25" s="214" t="s">
        <v>9</v>
      </c>
      <c r="B25" s="215"/>
      <c r="C25" s="215"/>
      <c r="D25" s="216"/>
      <c r="E25" s="218">
        <f>Insumos!$B$5</f>
        <v>2453.2399999999998</v>
      </c>
      <c r="F25" s="218"/>
    </row>
    <row r="26" spans="1:22" ht="15.75" x14ac:dyDescent="0.25">
      <c r="A26" s="214" t="s">
        <v>147</v>
      </c>
      <c r="B26" s="215"/>
      <c r="C26" s="215"/>
      <c r="D26" s="216"/>
      <c r="E26" s="219">
        <v>2</v>
      </c>
      <c r="F26" s="220"/>
    </row>
    <row r="27" spans="1:22" ht="15.75" x14ac:dyDescent="0.25">
      <c r="A27" s="214" t="s">
        <v>148</v>
      </c>
      <c r="B27" s="215"/>
      <c r="C27" s="215"/>
      <c r="D27" s="216"/>
      <c r="E27" s="221">
        <f>Insumos!$B$6</f>
        <v>975.83</v>
      </c>
      <c r="F27" s="222"/>
    </row>
    <row r="28" spans="1:22" ht="15.75" x14ac:dyDescent="0.25">
      <c r="A28" s="214" t="s">
        <v>149</v>
      </c>
      <c r="B28" s="215"/>
      <c r="C28" s="215"/>
      <c r="D28" s="216"/>
      <c r="E28" s="217">
        <v>100000</v>
      </c>
      <c r="F28" s="217"/>
    </row>
    <row r="31" spans="1:22" ht="15.75" x14ac:dyDescent="0.25">
      <c r="A31" s="191" t="s">
        <v>3</v>
      </c>
      <c r="B31" s="192"/>
      <c r="C31" s="192"/>
      <c r="D31" s="192"/>
      <c r="E31" s="192"/>
      <c r="F31" s="192"/>
    </row>
    <row r="32" spans="1:22" ht="15.75" x14ac:dyDescent="0.25">
      <c r="A32" s="214" t="s">
        <v>19</v>
      </c>
      <c r="B32" s="215"/>
      <c r="C32" s="215"/>
      <c r="D32" s="216"/>
      <c r="E32" s="218">
        <f>Insumos!$B$7</f>
        <v>7.6</v>
      </c>
      <c r="F32" s="218"/>
    </row>
    <row r="33" spans="1:14" ht="15.75" x14ac:dyDescent="0.25">
      <c r="A33" s="214" t="s">
        <v>17</v>
      </c>
      <c r="B33" s="215"/>
      <c r="C33" s="215"/>
      <c r="D33" s="216"/>
      <c r="E33" s="46">
        <f>IF($F$7=$D$95,G103,IF($F$7=$D$107,G115,IF($F$7=$N$95,Q103,IF($F$7=$O$107,Q115,""))))</f>
        <v>2.6</v>
      </c>
      <c r="F33" s="50" t="s">
        <v>18</v>
      </c>
    </row>
    <row r="36" spans="1:14" ht="17.25" x14ac:dyDescent="0.3">
      <c r="A36" s="208" t="s">
        <v>20</v>
      </c>
      <c r="B36" s="209"/>
      <c r="C36" s="209"/>
      <c r="D36" s="209"/>
      <c r="E36" s="209"/>
    </row>
    <row r="37" spans="1:14" x14ac:dyDescent="0.25">
      <c r="B37" s="210"/>
      <c r="C37" s="210"/>
      <c r="D37" s="211"/>
      <c r="E37" s="212" t="s">
        <v>4</v>
      </c>
      <c r="F37" s="213"/>
    </row>
    <row r="38" spans="1:14" ht="15.75" x14ac:dyDescent="0.25">
      <c r="A38" s="46" t="s">
        <v>346</v>
      </c>
      <c r="B38" s="214" t="s">
        <v>52</v>
      </c>
      <c r="C38" s="215"/>
      <c r="D38" s="216"/>
      <c r="E38" s="46">
        <f>1/E33</f>
        <v>0.38461538461538458</v>
      </c>
      <c r="F38" s="7" t="s">
        <v>5</v>
      </c>
      <c r="G38" s="7"/>
      <c r="H38" s="7"/>
      <c r="I38" s="7"/>
      <c r="J38" s="7"/>
      <c r="K38" s="58">
        <f>E32*E38</f>
        <v>2.9230769230769225</v>
      </c>
      <c r="L38" s="51" t="s">
        <v>13</v>
      </c>
      <c r="N38" s="2"/>
    </row>
    <row r="39" spans="1:14" ht="15.75" x14ac:dyDescent="0.25">
      <c r="A39" s="46" t="s">
        <v>6</v>
      </c>
      <c r="B39" s="206" t="s">
        <v>152</v>
      </c>
      <c r="C39" s="206"/>
      <c r="D39" s="206"/>
      <c r="E39" s="46">
        <v>0.04</v>
      </c>
      <c r="F39" s="7" t="s">
        <v>5</v>
      </c>
      <c r="G39" s="7"/>
      <c r="H39" s="7"/>
      <c r="I39" s="7"/>
      <c r="J39" s="7"/>
      <c r="K39" s="58">
        <f>E39*E32</f>
        <v>0.30399999999999999</v>
      </c>
      <c r="L39" s="51" t="s">
        <v>13</v>
      </c>
    </row>
    <row r="40" spans="1:14" ht="15.75" x14ac:dyDescent="0.25">
      <c r="A40" s="46" t="s">
        <v>7</v>
      </c>
      <c r="B40" s="206" t="s">
        <v>8</v>
      </c>
      <c r="C40" s="206"/>
      <c r="D40" s="206"/>
      <c r="E40" s="46"/>
      <c r="F40" s="7"/>
      <c r="G40" s="7"/>
      <c r="H40" s="7"/>
      <c r="I40" s="7"/>
      <c r="J40" s="7"/>
      <c r="K40" s="58">
        <f>((E25*E24)+(E26*E24*E27))/E28</f>
        <v>0.26429400000000003</v>
      </c>
      <c r="L40" s="51" t="s">
        <v>13</v>
      </c>
    </row>
    <row r="41" spans="1:14" ht="15.75" x14ac:dyDescent="0.25">
      <c r="A41" s="46" t="s">
        <v>12</v>
      </c>
      <c r="B41" s="206" t="s">
        <v>153</v>
      </c>
      <c r="C41" s="206"/>
      <c r="D41" s="206"/>
      <c r="E41" s="70">
        <v>3.0000000000000001E-6</v>
      </c>
      <c r="F41" s="193" t="s">
        <v>10</v>
      </c>
      <c r="G41" s="193"/>
      <c r="H41" s="193"/>
      <c r="I41" s="7"/>
      <c r="J41" s="7"/>
      <c r="K41" s="58">
        <f>(E41*E12)-(K40)</f>
        <v>1.32891114</v>
      </c>
      <c r="L41" s="51" t="s">
        <v>13</v>
      </c>
    </row>
    <row r="42" spans="1:14" ht="15.75" x14ac:dyDescent="0.25">
      <c r="A42" s="207"/>
      <c r="B42" s="207"/>
      <c r="C42" s="207"/>
      <c r="D42" s="207"/>
      <c r="E42" s="207"/>
      <c r="F42" s="7"/>
      <c r="G42" s="7"/>
      <c r="H42" s="7"/>
      <c r="I42" s="7"/>
      <c r="J42" s="7"/>
      <c r="K42" s="58">
        <f>SUM(K38:K41)</f>
        <v>4.8202820630769221</v>
      </c>
      <c r="L42" s="51" t="s">
        <v>13</v>
      </c>
    </row>
    <row r="43" spans="1:14" ht="21" customHeight="1" x14ac:dyDescent="0.25">
      <c r="A43" s="200" t="s">
        <v>144</v>
      </c>
      <c r="B43" s="200"/>
      <c r="C43" s="200"/>
      <c r="D43" s="200"/>
      <c r="E43" s="200"/>
      <c r="F43" s="200"/>
      <c r="G43" s="200"/>
      <c r="H43" s="200"/>
      <c r="I43" s="200"/>
      <c r="J43" s="200"/>
      <c r="K43" s="68">
        <f>K42*O14</f>
        <v>344.16813930369221</v>
      </c>
      <c r="L43" s="52" t="s">
        <v>16</v>
      </c>
    </row>
    <row r="45" spans="1:14" ht="18.75" x14ac:dyDescent="0.3">
      <c r="A45" s="190" t="s">
        <v>145</v>
      </c>
      <c r="B45" s="190"/>
      <c r="C45" s="190"/>
      <c r="D45" s="190"/>
      <c r="E45" s="190"/>
      <c r="F45" s="190"/>
      <c r="G45" s="190"/>
      <c r="H45" s="190"/>
      <c r="I45" s="190"/>
      <c r="J45" s="190"/>
      <c r="K45" s="65">
        <f>K42*O16*1.1514</f>
        <v>6060.6794620300307</v>
      </c>
      <c r="L45" s="53" t="s">
        <v>16</v>
      </c>
    </row>
    <row r="46" spans="1:14" ht="15.75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</row>
    <row r="47" spans="1:14" ht="18.75" x14ac:dyDescent="0.3">
      <c r="A47" s="190" t="s">
        <v>146</v>
      </c>
      <c r="B47" s="190"/>
      <c r="C47" s="190"/>
      <c r="D47" s="190"/>
      <c r="E47" s="190"/>
      <c r="F47" s="190"/>
      <c r="G47" s="190"/>
      <c r="H47" s="190"/>
      <c r="I47" s="190"/>
      <c r="J47" s="190"/>
      <c r="K47" s="65">
        <f>K43+K45</f>
        <v>6404.8476013337231</v>
      </c>
      <c r="L47" s="54" t="s">
        <v>16</v>
      </c>
    </row>
    <row r="49" spans="1:12" ht="15.75" x14ac:dyDescent="0.25">
      <c r="A49" s="197" t="s">
        <v>21</v>
      </c>
      <c r="B49" s="204"/>
      <c r="C49" s="204"/>
      <c r="D49" s="204"/>
      <c r="E49" s="204"/>
      <c r="F49" s="7"/>
      <c r="G49" s="7"/>
      <c r="H49" s="7"/>
      <c r="I49" s="7"/>
      <c r="J49" s="7"/>
      <c r="K49" s="7"/>
      <c r="L49" s="7"/>
    </row>
    <row r="50" spans="1:12" ht="15.75" x14ac:dyDescent="0.25">
      <c r="A50" s="3"/>
      <c r="B50" s="45"/>
      <c r="C50" s="45"/>
      <c r="D50" s="45"/>
      <c r="E50" s="45"/>
      <c r="F50" s="7"/>
      <c r="G50" s="7"/>
      <c r="H50" s="205" t="s">
        <v>25</v>
      </c>
      <c r="I50" s="205"/>
      <c r="J50" s="7"/>
      <c r="K50" s="7"/>
      <c r="L50" s="7"/>
    </row>
    <row r="51" spans="1:12" ht="15.75" x14ac:dyDescent="0.25">
      <c r="A51" s="7" t="s">
        <v>22</v>
      </c>
      <c r="B51" s="7"/>
      <c r="C51" s="193" t="s">
        <v>24</v>
      </c>
      <c r="D51" s="193"/>
      <c r="E51" s="193"/>
      <c r="F51" s="193"/>
      <c r="G51" s="7"/>
      <c r="H51" s="195"/>
      <c r="I51" s="195"/>
      <c r="J51" s="58"/>
      <c r="K51" s="59">
        <f>IF(L51="LINEAR",'DEPRECIAÇÃO LINEAR'!H23,(VLOOKUP(E15,'DEPRECIAÇÃO LINEAR'!W12:AM25,17,0)))</f>
        <v>3983.0128500000005</v>
      </c>
      <c r="L51" s="55" t="s">
        <v>130</v>
      </c>
    </row>
    <row r="52" spans="1:12" ht="15.75" x14ac:dyDescent="0.25">
      <c r="A52" s="7" t="s">
        <v>26</v>
      </c>
      <c r="B52" s="7"/>
      <c r="C52" s="193" t="s">
        <v>27</v>
      </c>
      <c r="D52" s="193"/>
      <c r="E52" s="193"/>
      <c r="F52" s="193"/>
      <c r="G52" s="7"/>
      <c r="H52" s="7"/>
      <c r="I52" s="7"/>
      <c r="J52" s="58"/>
      <c r="K52" s="58"/>
      <c r="L52" s="7"/>
    </row>
    <row r="53" spans="1:12" ht="15.75" x14ac:dyDescent="0.25">
      <c r="A53" s="7"/>
      <c r="B53" s="7" t="s">
        <v>31</v>
      </c>
      <c r="C53" s="193" t="s">
        <v>28</v>
      </c>
      <c r="D53" s="193"/>
      <c r="E53" s="193"/>
      <c r="F53" s="193"/>
      <c r="G53" s="7"/>
      <c r="H53" s="7"/>
      <c r="I53" s="7"/>
      <c r="J53" s="58"/>
      <c r="K53" s="58">
        <f>'Motorista de Veiculo Pesado'!E90</f>
        <v>8468.4608078400015</v>
      </c>
      <c r="L53" s="7"/>
    </row>
    <row r="54" spans="1:12" ht="15.75" x14ac:dyDescent="0.25">
      <c r="A54" s="7"/>
      <c r="B54" s="7" t="s">
        <v>32</v>
      </c>
      <c r="C54" s="193" t="s">
        <v>29</v>
      </c>
      <c r="D54" s="193"/>
      <c r="E54" s="193"/>
      <c r="F54" s="193"/>
      <c r="G54" s="7"/>
      <c r="H54" s="7"/>
      <c r="I54" s="7"/>
      <c r="J54" s="58"/>
      <c r="K54" s="58">
        <f>'Monitor de Transporte Escolar'!E90</f>
        <v>4485.726463695999</v>
      </c>
      <c r="L54" s="7"/>
    </row>
    <row r="55" spans="1:12" ht="15.75" x14ac:dyDescent="0.25">
      <c r="A55" s="7" t="s">
        <v>30</v>
      </c>
      <c r="B55" s="7"/>
      <c r="C55" s="193" t="s">
        <v>34</v>
      </c>
      <c r="D55" s="193"/>
      <c r="E55" s="193"/>
      <c r="F55" s="193"/>
      <c r="G55" s="7"/>
      <c r="H55" s="7"/>
      <c r="I55" s="7"/>
      <c r="J55" s="58"/>
      <c r="K55" s="58"/>
      <c r="L55" s="56"/>
    </row>
    <row r="56" spans="1:12" ht="15.75" x14ac:dyDescent="0.25">
      <c r="A56" s="7"/>
      <c r="B56" s="7" t="s">
        <v>33</v>
      </c>
      <c r="C56" s="7" t="s">
        <v>35</v>
      </c>
      <c r="D56" s="7"/>
      <c r="E56" s="7"/>
      <c r="F56" s="7"/>
      <c r="G56" s="7"/>
      <c r="H56" s="7"/>
      <c r="I56" s="7"/>
      <c r="J56" s="58">
        <f>1/100*E12</f>
        <v>5310.6837999999998</v>
      </c>
      <c r="K56" s="58">
        <f>J56/12</f>
        <v>442.55698333333333</v>
      </c>
      <c r="L56" s="7"/>
    </row>
    <row r="57" spans="1:12" ht="15.75" x14ac:dyDescent="0.25">
      <c r="A57" s="7"/>
      <c r="B57" s="7" t="s">
        <v>36</v>
      </c>
      <c r="C57" s="7" t="s">
        <v>37</v>
      </c>
      <c r="D57" s="7"/>
      <c r="E57" s="7"/>
      <c r="F57" s="7"/>
      <c r="G57" s="7"/>
      <c r="H57" s="7"/>
      <c r="I57" s="7"/>
      <c r="J57" s="58">
        <v>230.25</v>
      </c>
      <c r="K57" s="58">
        <f>J57/12</f>
        <v>19.1875</v>
      </c>
      <c r="L57" s="7"/>
    </row>
    <row r="58" spans="1:12" ht="15.75" x14ac:dyDescent="0.25">
      <c r="A58" s="7"/>
      <c r="B58" s="7" t="s">
        <v>38</v>
      </c>
      <c r="C58" s="193" t="s">
        <v>39</v>
      </c>
      <c r="D58" s="193"/>
      <c r="E58" s="193"/>
      <c r="F58" s="193"/>
      <c r="G58" s="7"/>
      <c r="H58" s="7"/>
      <c r="I58" s="7"/>
      <c r="J58" s="58">
        <v>161.80000000000001</v>
      </c>
      <c r="K58" s="58">
        <f>J58/12</f>
        <v>13.483333333333334</v>
      </c>
      <c r="L58" s="7"/>
    </row>
    <row r="59" spans="1:12" ht="15.75" x14ac:dyDescent="0.25">
      <c r="A59" s="7" t="s">
        <v>41</v>
      </c>
      <c r="B59" s="7"/>
      <c r="C59" s="7" t="s">
        <v>40</v>
      </c>
      <c r="D59" s="7"/>
      <c r="E59" s="7"/>
      <c r="F59" s="7"/>
      <c r="G59" s="7"/>
      <c r="H59" s="7"/>
      <c r="I59" s="7"/>
      <c r="J59" s="58">
        <v>0</v>
      </c>
      <c r="K59" s="58">
        <f>J59/12</f>
        <v>0</v>
      </c>
      <c r="L59" s="7"/>
    </row>
    <row r="60" spans="1:12" ht="15.75" x14ac:dyDescent="0.25">
      <c r="A60" s="7" t="s">
        <v>57</v>
      </c>
      <c r="B60" s="7"/>
      <c r="C60" s="193" t="s">
        <v>58</v>
      </c>
      <c r="D60" s="193"/>
      <c r="E60" s="193"/>
      <c r="F60" s="193"/>
      <c r="G60" s="193"/>
      <c r="H60" s="7"/>
      <c r="I60" s="7"/>
      <c r="J60" s="58">
        <f>Insumos!$B$8</f>
        <v>350.88</v>
      </c>
      <c r="K60" s="58">
        <f>4*J60</f>
        <v>1403.52</v>
      </c>
      <c r="L60" s="7"/>
    </row>
    <row r="61" spans="1:12" ht="15.75" x14ac:dyDescent="0.25">
      <c r="A61" s="7" t="s">
        <v>60</v>
      </c>
      <c r="B61" s="7"/>
      <c r="C61" s="45" t="s">
        <v>63</v>
      </c>
      <c r="D61" s="45"/>
      <c r="E61" s="45"/>
      <c r="F61" s="45"/>
      <c r="G61" s="45"/>
      <c r="H61" s="7"/>
      <c r="I61" s="7"/>
      <c r="J61" s="58">
        <f>Insumos!$B$9</f>
        <v>2680.95</v>
      </c>
      <c r="K61" s="58">
        <f>J61/12</f>
        <v>223.41249999999999</v>
      </c>
      <c r="L61" s="7"/>
    </row>
    <row r="62" spans="1:12" ht="15.75" x14ac:dyDescent="0.25">
      <c r="A62" s="7" t="s">
        <v>61</v>
      </c>
      <c r="B62" s="7"/>
      <c r="C62" s="193" t="s">
        <v>62</v>
      </c>
      <c r="D62" s="193"/>
      <c r="E62" s="193"/>
      <c r="F62" s="45"/>
      <c r="G62" s="45"/>
      <c r="H62" s="7"/>
      <c r="I62" s="7"/>
      <c r="J62" s="60">
        <f>Insumos!$B$10</f>
        <v>932.23</v>
      </c>
      <c r="K62" s="58">
        <f>J62/12</f>
        <v>77.685833333333335</v>
      </c>
      <c r="L62" s="7"/>
    </row>
    <row r="63" spans="1:12" ht="15.75" x14ac:dyDescent="0.25">
      <c r="A63" s="7" t="s">
        <v>142</v>
      </c>
      <c r="B63" s="7"/>
      <c r="C63" s="203" t="s">
        <v>143</v>
      </c>
      <c r="D63" s="203"/>
      <c r="E63" s="203"/>
      <c r="F63" s="203"/>
      <c r="G63" s="164"/>
      <c r="H63" s="7"/>
      <c r="I63" s="7"/>
      <c r="J63" s="60">
        <f>Insumos!$B$11</f>
        <v>471.82</v>
      </c>
      <c r="K63" s="72">
        <f>J63/24</f>
        <v>19.659166666666668</v>
      </c>
      <c r="L63" s="7"/>
    </row>
    <row r="64" spans="1:12" ht="15.75" x14ac:dyDescent="0.25">
      <c r="A64" s="7" t="s">
        <v>340</v>
      </c>
      <c r="B64" s="7"/>
      <c r="C64" s="165" t="s">
        <v>343</v>
      </c>
      <c r="D64" s="165"/>
      <c r="E64" s="165"/>
      <c r="F64" s="165"/>
      <c r="G64" s="164"/>
      <c r="H64" s="7"/>
      <c r="I64" s="7"/>
      <c r="J64" s="60">
        <f>Insumos!$B$12</f>
        <v>14.372399999999997</v>
      </c>
      <c r="K64" s="72">
        <f>J64/60</f>
        <v>0.23953999999999995</v>
      </c>
      <c r="L64" s="7"/>
    </row>
    <row r="65" spans="1:13" ht="20.25" customHeight="1" x14ac:dyDescent="0.25">
      <c r="A65" s="259" t="s">
        <v>43</v>
      </c>
      <c r="B65" s="260"/>
      <c r="C65" s="260"/>
      <c r="D65" s="260"/>
      <c r="E65" s="260"/>
      <c r="F65" s="260"/>
      <c r="G65" s="260"/>
      <c r="H65" s="260"/>
      <c r="I65" s="260"/>
      <c r="J65" s="261"/>
      <c r="K65" s="67">
        <f>SUM(K51:K64)</f>
        <v>19136.944978202664</v>
      </c>
      <c r="L65" s="57" t="s">
        <v>16</v>
      </c>
      <c r="M65" s="4"/>
    </row>
    <row r="67" spans="1:13" ht="19.5" customHeight="1" x14ac:dyDescent="0.3">
      <c r="A67" s="262" t="s">
        <v>132</v>
      </c>
      <c r="B67" s="263"/>
      <c r="C67" s="263"/>
      <c r="D67" s="263"/>
      <c r="E67" s="263"/>
      <c r="F67" s="263"/>
      <c r="G67" s="263"/>
      <c r="H67" s="263"/>
      <c r="I67" s="264"/>
      <c r="K67" s="66">
        <f>K47+K65</f>
        <v>25541.792579536388</v>
      </c>
    </row>
    <row r="69" spans="1:13" ht="15.75" x14ac:dyDescent="0.25">
      <c r="A69" s="254" t="s">
        <v>133</v>
      </c>
      <c r="B69" s="255"/>
      <c r="C69" s="255"/>
      <c r="D69" s="255"/>
      <c r="E69" s="256"/>
      <c r="I69" s="265" t="s">
        <v>55</v>
      </c>
      <c r="J69" s="266"/>
    </row>
    <row r="70" spans="1:13" ht="15.75" x14ac:dyDescent="0.25">
      <c r="A70" s="7" t="s">
        <v>341</v>
      </c>
      <c r="B70" s="7"/>
      <c r="C70" s="193" t="s">
        <v>54</v>
      </c>
      <c r="D70" s="193"/>
      <c r="E70" s="193"/>
      <c r="F70" s="193"/>
      <c r="G70" s="7"/>
      <c r="H70" s="7"/>
      <c r="I70" s="168">
        <f>Insumos!$B$15</f>
        <v>2.6599999999999999E-2</v>
      </c>
      <c r="J70" s="7"/>
      <c r="K70" s="58">
        <f>I70*K67</f>
        <v>679.41168261566793</v>
      </c>
      <c r="L70" s="7"/>
    </row>
    <row r="71" spans="1:13" ht="15.75" x14ac:dyDescent="0.25">
      <c r="A71" s="7" t="s">
        <v>342</v>
      </c>
      <c r="B71" s="7"/>
      <c r="C71" s="193" t="s">
        <v>59</v>
      </c>
      <c r="D71" s="193"/>
      <c r="E71" s="193"/>
      <c r="F71" s="193"/>
      <c r="G71" s="7"/>
      <c r="H71" s="7"/>
      <c r="I71" s="169">
        <f>Insumos!$B$16</f>
        <v>0.04</v>
      </c>
      <c r="J71" s="7"/>
      <c r="K71" s="58">
        <f>I71*(K67+K70)</f>
        <v>1048.8481704860822</v>
      </c>
      <c r="L71" s="7"/>
    </row>
    <row r="72" spans="1:13" ht="18.75" x14ac:dyDescent="0.3">
      <c r="A72" s="7"/>
      <c r="B72" s="7"/>
      <c r="C72" s="7"/>
      <c r="D72" s="7"/>
      <c r="E72" s="7"/>
      <c r="F72" s="7"/>
      <c r="G72" s="7"/>
      <c r="H72" s="7"/>
      <c r="I72" s="7"/>
      <c r="J72" s="61" t="s">
        <v>131</v>
      </c>
      <c r="K72" s="65">
        <f>SUM(K70:K71)</f>
        <v>1728.2598531017502</v>
      </c>
      <c r="L72" s="54" t="s">
        <v>16</v>
      </c>
    </row>
    <row r="74" spans="1:13" ht="15.75" x14ac:dyDescent="0.25">
      <c r="A74" s="254" t="s">
        <v>134</v>
      </c>
      <c r="B74" s="255"/>
      <c r="C74" s="255"/>
      <c r="D74" s="255"/>
      <c r="E74" s="256"/>
      <c r="F74" s="7"/>
      <c r="G74" s="7"/>
      <c r="H74" s="7"/>
      <c r="I74" s="7"/>
      <c r="J74" s="7"/>
      <c r="K74" s="7"/>
      <c r="L74" s="7"/>
    </row>
    <row r="75" spans="1:13" ht="15.75" x14ac:dyDescent="0.25">
      <c r="A75" s="193" t="s">
        <v>42</v>
      </c>
      <c r="B75" s="193"/>
      <c r="C75" s="193"/>
      <c r="D75" s="193"/>
      <c r="E75" s="193"/>
      <c r="F75" s="193"/>
      <c r="G75" s="7"/>
      <c r="H75" s="7"/>
      <c r="I75" s="219" t="s">
        <v>47</v>
      </c>
      <c r="J75" s="220"/>
      <c r="K75" s="51">
        <f>K67+K72</f>
        <v>27270.052432638138</v>
      </c>
      <c r="L75" s="7"/>
    </row>
    <row r="76" spans="1:13" ht="15.75" x14ac:dyDescent="0.25">
      <c r="A76" s="7" t="s">
        <v>53</v>
      </c>
      <c r="C76" s="7" t="s">
        <v>44</v>
      </c>
      <c r="D76" s="7"/>
      <c r="E76" s="7"/>
      <c r="F76" s="7"/>
      <c r="G76" s="7"/>
      <c r="H76" s="7"/>
      <c r="I76" s="257">
        <f>Insumos!$B$18</f>
        <v>0.05</v>
      </c>
      <c r="J76" s="258"/>
      <c r="K76" s="51">
        <f>$K$75/(1-(SUM($I$76:$J$78)))*I76</f>
        <v>1492.6137073146219</v>
      </c>
      <c r="L76" s="7"/>
    </row>
    <row r="77" spans="1:13" ht="15.75" x14ac:dyDescent="0.25">
      <c r="A77" s="7" t="s">
        <v>344</v>
      </c>
      <c r="C77" s="7" t="s">
        <v>45</v>
      </c>
      <c r="D77" s="7"/>
      <c r="E77" s="7"/>
      <c r="F77" s="7"/>
      <c r="G77" s="7"/>
      <c r="H77" s="7"/>
      <c r="I77" s="257">
        <f>Insumos!$B$19</f>
        <v>6.4999999999999997E-3</v>
      </c>
      <c r="J77" s="258"/>
      <c r="K77" s="51">
        <f>$K$75/(1-(SUM($I$76:$J$78)))*I77</f>
        <v>194.03978195090082</v>
      </c>
      <c r="L77" s="7"/>
    </row>
    <row r="78" spans="1:13" ht="15.75" x14ac:dyDescent="0.25">
      <c r="A78" s="7" t="s">
        <v>345</v>
      </c>
      <c r="C78" s="7" t="s">
        <v>46</v>
      </c>
      <c r="D78" s="7"/>
      <c r="E78" s="7"/>
      <c r="F78" s="7"/>
      <c r="G78" s="7"/>
      <c r="H78" s="7"/>
      <c r="I78" s="257">
        <f>Insumos!$B$20</f>
        <v>0.03</v>
      </c>
      <c r="J78" s="258"/>
      <c r="K78" s="51">
        <f>$K$75/(1-(SUM($I$76:$J$78)))*I78</f>
        <v>895.56822438877305</v>
      </c>
      <c r="L78" s="7"/>
    </row>
    <row r="79" spans="1:13" ht="21" customHeight="1" x14ac:dyDescent="0.3">
      <c r="A79" s="251" t="s">
        <v>48</v>
      </c>
      <c r="B79" s="252"/>
      <c r="C79" s="252"/>
      <c r="D79" s="252"/>
      <c r="E79" s="252"/>
      <c r="F79" s="252"/>
      <c r="G79" s="252"/>
      <c r="H79" s="252"/>
      <c r="I79" s="252"/>
      <c r="J79" s="253"/>
      <c r="K79" s="64">
        <f>SUM(K76:K78)</f>
        <v>2582.2217136542959</v>
      </c>
      <c r="L79" s="54" t="s">
        <v>16</v>
      </c>
    </row>
    <row r="81" spans="1:20" x14ac:dyDescent="0.25">
      <c r="C81" s="5"/>
      <c r="D81" s="5"/>
      <c r="E81" s="5"/>
      <c r="F81" s="5"/>
      <c r="K81" s="2"/>
    </row>
    <row r="82" spans="1:20" ht="15.75" x14ac:dyDescent="0.25">
      <c r="A82" s="191" t="s">
        <v>56</v>
      </c>
      <c r="B82" s="191"/>
      <c r="C82" s="191"/>
      <c r="D82" s="191"/>
      <c r="E82" s="191"/>
      <c r="F82" s="191"/>
      <c r="G82" s="191"/>
      <c r="H82" s="191"/>
      <c r="I82" s="191"/>
      <c r="T82" s="43"/>
    </row>
    <row r="83" spans="1:20" ht="15.75" x14ac:dyDescent="0.25">
      <c r="A83" s="6"/>
      <c r="B83" s="6"/>
      <c r="C83" s="6"/>
      <c r="D83" s="6"/>
      <c r="E83" s="6"/>
      <c r="F83" s="6"/>
      <c r="G83" s="6"/>
      <c r="H83" s="6"/>
      <c r="I83" s="6"/>
    </row>
    <row r="84" spans="1:20" ht="15.75" x14ac:dyDescent="0.25">
      <c r="A84" s="191" t="s">
        <v>51</v>
      </c>
      <c r="B84" s="192"/>
      <c r="C84" s="192"/>
      <c r="D84" s="192"/>
      <c r="E84" s="192"/>
      <c r="F84" s="192"/>
      <c r="G84" s="192"/>
      <c r="H84" s="192"/>
    </row>
    <row r="85" spans="1:20" ht="20.25" customHeight="1" x14ac:dyDescent="0.3">
      <c r="A85" s="193" t="s">
        <v>135</v>
      </c>
      <c r="B85" s="193"/>
      <c r="C85" s="193"/>
      <c r="D85" s="193"/>
      <c r="E85" s="193"/>
      <c r="F85" s="193"/>
      <c r="G85" s="193"/>
      <c r="H85" s="193"/>
      <c r="I85" s="193"/>
      <c r="J85" s="193"/>
      <c r="K85" s="62">
        <f>K67+K72+K79</f>
        <v>29852.274146292435</v>
      </c>
    </row>
    <row r="86" spans="1:20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2"/>
    </row>
    <row r="87" spans="1:20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2"/>
      <c r="P87" s="42"/>
    </row>
    <row r="88" spans="1:20" ht="8.25" customHeight="1" x14ac:dyDescent="0.25"/>
    <row r="89" spans="1:20" ht="16.5" customHeight="1" x14ac:dyDescent="0.25">
      <c r="A89" s="194" t="s">
        <v>49</v>
      </c>
      <c r="B89" s="195"/>
      <c r="C89" s="195"/>
      <c r="D89" s="195"/>
      <c r="E89" s="195"/>
      <c r="F89" s="195"/>
      <c r="G89" s="195"/>
      <c r="H89" s="195"/>
      <c r="I89" s="195"/>
      <c r="J89" s="195"/>
      <c r="K89" s="7"/>
      <c r="L89" s="7"/>
    </row>
    <row r="90" spans="1:20" ht="24.75" customHeight="1" x14ac:dyDescent="0.3">
      <c r="A90" s="196" t="s">
        <v>141</v>
      </c>
      <c r="B90" s="196"/>
      <c r="C90" s="196"/>
      <c r="D90" s="196"/>
      <c r="E90" s="196"/>
      <c r="F90" s="196"/>
      <c r="G90" s="196"/>
      <c r="H90" s="196"/>
      <c r="I90" s="196"/>
      <c r="J90" s="196"/>
      <c r="K90" s="71">
        <f>K85/O18</f>
        <v>25.659510182475874</v>
      </c>
      <c r="L90" s="63" t="s">
        <v>50</v>
      </c>
    </row>
    <row r="94" spans="1:20" s="10" customFormat="1" x14ac:dyDescent="0.25"/>
    <row r="95" spans="1:20" s="11" customFormat="1" ht="18.75" x14ac:dyDescent="0.3">
      <c r="B95" s="12" t="s">
        <v>69</v>
      </c>
      <c r="D95" s="188" t="s">
        <v>65</v>
      </c>
      <c r="E95" s="188"/>
      <c r="L95" s="12" t="s">
        <v>69</v>
      </c>
      <c r="M95" s="12"/>
      <c r="N95" s="12" t="s">
        <v>75</v>
      </c>
      <c r="O95" s="12"/>
    </row>
    <row r="96" spans="1:20" s="11" customFormat="1" x14ac:dyDescent="0.25"/>
    <row r="97" spans="2:18" s="11" customFormat="1" x14ac:dyDescent="0.25">
      <c r="B97" s="184" t="s">
        <v>66</v>
      </c>
      <c r="C97" s="184"/>
      <c r="D97" s="13"/>
      <c r="E97" s="13"/>
      <c r="F97" s="189">
        <v>288912</v>
      </c>
      <c r="G97" s="189"/>
      <c r="L97" s="13" t="s">
        <v>66</v>
      </c>
      <c r="M97" s="13"/>
      <c r="N97" s="13"/>
      <c r="O97" s="13"/>
      <c r="P97" s="13"/>
      <c r="Q97" s="30">
        <v>271500</v>
      </c>
    </row>
    <row r="98" spans="2:18" s="11" customFormat="1" x14ac:dyDescent="0.25">
      <c r="B98" s="13" t="s">
        <v>67</v>
      </c>
      <c r="D98" s="13"/>
      <c r="E98" s="13"/>
      <c r="F98" s="185">
        <v>10</v>
      </c>
      <c r="G98" s="185"/>
      <c r="H98" s="11" t="s">
        <v>154</v>
      </c>
      <c r="L98" s="13" t="s">
        <v>67</v>
      </c>
      <c r="M98" s="13"/>
      <c r="N98" s="13"/>
      <c r="O98" s="13"/>
      <c r="P98" s="13"/>
      <c r="Q98" s="13">
        <v>10</v>
      </c>
      <c r="R98" s="11" t="s">
        <v>154</v>
      </c>
    </row>
    <row r="99" spans="2:18" s="11" customFormat="1" x14ac:dyDescent="0.25">
      <c r="B99" s="13" t="s">
        <v>81</v>
      </c>
      <c r="D99" s="13"/>
      <c r="E99" s="13"/>
      <c r="F99" s="14"/>
      <c r="G99" s="14">
        <v>2018</v>
      </c>
      <c r="L99" s="13" t="s">
        <v>81</v>
      </c>
      <c r="N99" s="13"/>
      <c r="O99" s="13"/>
      <c r="P99" s="14"/>
      <c r="Q99" s="14">
        <v>2018</v>
      </c>
    </row>
    <row r="100" spans="2:18" s="11" customFormat="1" x14ac:dyDescent="0.25">
      <c r="B100" s="184" t="s">
        <v>68</v>
      </c>
      <c r="C100" s="184"/>
      <c r="D100" s="184"/>
      <c r="F100" s="185">
        <v>6</v>
      </c>
      <c r="G100" s="185"/>
      <c r="L100" s="13" t="s">
        <v>76</v>
      </c>
      <c r="M100" s="13"/>
      <c r="N100" s="13"/>
      <c r="O100" s="13"/>
      <c r="P100" s="13"/>
      <c r="Q100" s="13">
        <v>6</v>
      </c>
    </row>
    <row r="101" spans="2:18" s="11" customFormat="1" x14ac:dyDescent="0.25">
      <c r="B101" s="184" t="s">
        <v>71</v>
      </c>
      <c r="C101" s="184"/>
      <c r="D101" s="184"/>
      <c r="F101" s="14"/>
      <c r="G101" s="17">
        <v>100000</v>
      </c>
      <c r="L101" s="13" t="s">
        <v>71</v>
      </c>
      <c r="M101" s="13"/>
      <c r="N101" s="13"/>
      <c r="O101" s="13"/>
      <c r="P101" s="13"/>
      <c r="Q101" s="19">
        <v>100000</v>
      </c>
    </row>
    <row r="102" spans="2:18" s="11" customFormat="1" x14ac:dyDescent="0.25">
      <c r="B102" s="184" t="s">
        <v>72</v>
      </c>
      <c r="C102" s="184"/>
      <c r="D102" s="184"/>
      <c r="F102" s="14"/>
      <c r="G102" s="20">
        <v>1533.77</v>
      </c>
      <c r="L102" s="13" t="s">
        <v>72</v>
      </c>
      <c r="M102" s="13"/>
      <c r="N102" s="13"/>
      <c r="O102" s="13"/>
      <c r="P102" s="13"/>
      <c r="Q102" s="69">
        <v>860.69</v>
      </c>
    </row>
    <row r="103" spans="2:18" s="11" customFormat="1" x14ac:dyDescent="0.25">
      <c r="B103" s="184" t="s">
        <v>73</v>
      </c>
      <c r="C103" s="184"/>
      <c r="D103" s="15"/>
      <c r="F103" s="14"/>
      <c r="G103" s="14">
        <v>2.6</v>
      </c>
      <c r="H103" s="13" t="s">
        <v>74</v>
      </c>
      <c r="L103" s="13" t="s">
        <v>73</v>
      </c>
      <c r="M103" s="13"/>
      <c r="N103" s="13"/>
      <c r="O103" s="13"/>
      <c r="P103" s="13"/>
      <c r="Q103" s="13">
        <v>4.7</v>
      </c>
    </row>
    <row r="104" spans="2:18" s="11" customFormat="1" x14ac:dyDescent="0.25">
      <c r="B104" s="184" t="s">
        <v>70</v>
      </c>
      <c r="C104" s="184"/>
      <c r="D104" s="184"/>
      <c r="F104" s="185" t="s">
        <v>125</v>
      </c>
      <c r="G104" s="185"/>
      <c r="L104" s="13" t="s">
        <v>70</v>
      </c>
      <c r="M104" s="13"/>
      <c r="N104" s="13"/>
      <c r="O104" s="13"/>
      <c r="P104" s="13"/>
      <c r="Q104" s="13" t="s">
        <v>124</v>
      </c>
    </row>
    <row r="105" spans="2:18" s="11" customFormat="1" x14ac:dyDescent="0.25"/>
    <row r="106" spans="2:18" s="11" customFormat="1" x14ac:dyDescent="0.25"/>
    <row r="107" spans="2:18" s="11" customFormat="1" ht="18.75" x14ac:dyDescent="0.3">
      <c r="B107" s="12" t="s">
        <v>69</v>
      </c>
      <c r="C107" s="12"/>
      <c r="D107" s="12" t="s">
        <v>77</v>
      </c>
      <c r="E107" s="13"/>
      <c r="F107" s="13"/>
      <c r="G107" s="13"/>
      <c r="H107" s="13"/>
      <c r="L107" s="12" t="s">
        <v>69</v>
      </c>
      <c r="M107" s="16"/>
      <c r="N107" s="16"/>
      <c r="O107" s="12" t="s">
        <v>78</v>
      </c>
    </row>
    <row r="108" spans="2:18" s="11" customFormat="1" x14ac:dyDescent="0.25">
      <c r="B108" s="13"/>
      <c r="C108" s="13"/>
      <c r="D108" s="13"/>
      <c r="E108" s="13"/>
      <c r="F108" s="13"/>
      <c r="G108" s="13"/>
      <c r="H108" s="13"/>
    </row>
    <row r="109" spans="2:18" s="11" customFormat="1" x14ac:dyDescent="0.25">
      <c r="B109" s="184" t="s">
        <v>66</v>
      </c>
      <c r="C109" s="184"/>
      <c r="D109" s="13"/>
      <c r="E109" s="13"/>
      <c r="F109" s="185">
        <v>400</v>
      </c>
      <c r="G109" s="185"/>
      <c r="H109" s="13"/>
      <c r="L109" s="184" t="s">
        <v>66</v>
      </c>
      <c r="M109" s="184"/>
      <c r="N109" s="13"/>
      <c r="O109" s="13"/>
      <c r="P109" s="185" t="s">
        <v>78</v>
      </c>
      <c r="Q109" s="185"/>
      <c r="R109" s="13"/>
    </row>
    <row r="110" spans="2:18" s="11" customFormat="1" x14ac:dyDescent="0.25">
      <c r="B110" s="13" t="s">
        <v>67</v>
      </c>
      <c r="C110" s="13"/>
      <c r="D110" s="13"/>
      <c r="E110" s="13"/>
      <c r="F110" s="185">
        <v>10</v>
      </c>
      <c r="G110" s="185"/>
      <c r="H110" s="13" t="s">
        <v>154</v>
      </c>
      <c r="L110" s="13" t="s">
        <v>67</v>
      </c>
      <c r="M110" s="13"/>
      <c r="N110" s="13"/>
      <c r="O110" s="13"/>
      <c r="P110" s="185">
        <v>8</v>
      </c>
      <c r="Q110" s="185"/>
      <c r="R110" s="13" t="s">
        <v>154</v>
      </c>
    </row>
    <row r="111" spans="2:18" s="11" customFormat="1" x14ac:dyDescent="0.25">
      <c r="B111" s="13" t="s">
        <v>81</v>
      </c>
      <c r="D111" s="13"/>
      <c r="E111" s="13"/>
      <c r="F111" s="14"/>
      <c r="G111" s="14" t="s">
        <v>82</v>
      </c>
      <c r="L111" s="13" t="s">
        <v>81</v>
      </c>
      <c r="N111" s="13"/>
      <c r="O111" s="13"/>
      <c r="P111" s="14"/>
      <c r="Q111" s="14" t="s">
        <v>83</v>
      </c>
      <c r="R111" s="13"/>
    </row>
    <row r="112" spans="2:18" s="11" customFormat="1" x14ac:dyDescent="0.25">
      <c r="B112" s="184" t="s">
        <v>68</v>
      </c>
      <c r="C112" s="184"/>
      <c r="D112" s="184"/>
      <c r="E112" s="13"/>
      <c r="F112" s="185" t="s">
        <v>87</v>
      </c>
      <c r="G112" s="185"/>
      <c r="H112" s="13"/>
      <c r="L112" s="184" t="s">
        <v>68</v>
      </c>
      <c r="M112" s="184"/>
      <c r="N112" s="184"/>
      <c r="O112" s="13"/>
      <c r="P112" s="185" t="s">
        <v>88</v>
      </c>
      <c r="Q112" s="185"/>
      <c r="R112" s="13"/>
    </row>
    <row r="113" spans="2:21" s="11" customFormat="1" x14ac:dyDescent="0.25">
      <c r="B113" s="184" t="s">
        <v>71</v>
      </c>
      <c r="C113" s="184"/>
      <c r="D113" s="184"/>
      <c r="E113" s="13"/>
      <c r="F113" s="14"/>
      <c r="G113" s="14" t="s">
        <v>89</v>
      </c>
      <c r="H113" s="13"/>
      <c r="L113" s="184" t="s">
        <v>71</v>
      </c>
      <c r="M113" s="184"/>
      <c r="N113" s="184"/>
      <c r="O113" s="13"/>
      <c r="P113" s="14"/>
      <c r="Q113" s="14" t="s">
        <v>90</v>
      </c>
      <c r="R113" s="13"/>
    </row>
    <row r="114" spans="2:21" s="11" customFormat="1" x14ac:dyDescent="0.25">
      <c r="B114" s="184" t="s">
        <v>72</v>
      </c>
      <c r="C114" s="184"/>
      <c r="D114" s="184"/>
      <c r="E114" s="13"/>
      <c r="F114" s="14"/>
      <c r="G114" s="14">
        <v>400</v>
      </c>
      <c r="H114" s="13"/>
      <c r="L114" s="184" t="s">
        <v>72</v>
      </c>
      <c r="M114" s="184"/>
      <c r="N114" s="184"/>
      <c r="O114" s="13"/>
      <c r="P114" s="14"/>
      <c r="Q114" s="14">
        <v>4444</v>
      </c>
      <c r="R114" s="13"/>
    </row>
    <row r="115" spans="2:21" s="11" customFormat="1" x14ac:dyDescent="0.25">
      <c r="B115" s="184" t="s">
        <v>73</v>
      </c>
      <c r="C115" s="184"/>
      <c r="D115" s="15"/>
      <c r="E115" s="13"/>
      <c r="F115" s="14"/>
      <c r="G115" s="14">
        <v>2</v>
      </c>
      <c r="H115" s="13" t="s">
        <v>74</v>
      </c>
      <c r="L115" s="184" t="s">
        <v>73</v>
      </c>
      <c r="M115" s="184"/>
      <c r="N115" s="15"/>
      <c r="O115" s="13"/>
      <c r="P115" s="14"/>
      <c r="Q115" s="14">
        <v>4</v>
      </c>
      <c r="R115" s="13" t="s">
        <v>74</v>
      </c>
    </row>
    <row r="116" spans="2:21" s="11" customFormat="1" x14ac:dyDescent="0.25">
      <c r="B116" s="184" t="s">
        <v>70</v>
      </c>
      <c r="C116" s="184"/>
      <c r="D116" s="184"/>
      <c r="E116" s="13"/>
      <c r="F116" s="185" t="s">
        <v>85</v>
      </c>
      <c r="G116" s="185"/>
      <c r="H116" s="13"/>
      <c r="L116" s="184" t="s">
        <v>70</v>
      </c>
      <c r="M116" s="184"/>
      <c r="N116" s="184"/>
      <c r="O116" s="13"/>
      <c r="P116" s="185" t="s">
        <v>86</v>
      </c>
      <c r="Q116" s="185"/>
      <c r="R116" s="13"/>
    </row>
    <row r="117" spans="2:21" s="11" customFormat="1" x14ac:dyDescent="0.25"/>
    <row r="118" spans="2:21" s="11" customFormat="1" x14ac:dyDescent="0.25"/>
    <row r="119" spans="2:21" s="11" customFormat="1" ht="18.75" x14ac:dyDescent="0.3">
      <c r="Q119" s="12" t="s">
        <v>65</v>
      </c>
      <c r="R119" s="12"/>
      <c r="T119" s="13" t="s">
        <v>130</v>
      </c>
      <c r="U119" s="13"/>
    </row>
    <row r="120" spans="2:21" s="11" customFormat="1" ht="18.75" x14ac:dyDescent="0.3">
      <c r="Q120" s="12" t="s">
        <v>75</v>
      </c>
      <c r="T120" s="13" t="s">
        <v>129</v>
      </c>
      <c r="U120" s="13"/>
    </row>
    <row r="121" spans="2:21" s="11" customFormat="1" ht="18.75" x14ac:dyDescent="0.3">
      <c r="Q121" s="12" t="s">
        <v>77</v>
      </c>
    </row>
    <row r="122" spans="2:21" s="11" customFormat="1" ht="18" customHeight="1" x14ac:dyDescent="0.3">
      <c r="B122" s="186" t="s">
        <v>172</v>
      </c>
      <c r="C122" s="186"/>
      <c r="Q122" s="12" t="s">
        <v>78</v>
      </c>
    </row>
    <row r="123" spans="2:21" ht="0.75" hidden="1" customHeight="1" x14ac:dyDescent="0.25">
      <c r="B123" s="186"/>
      <c r="C123" s="186"/>
    </row>
    <row r="124" spans="2:21" hidden="1" x14ac:dyDescent="0.25">
      <c r="B124" s="186"/>
      <c r="C124" s="186"/>
    </row>
    <row r="125" spans="2:21" x14ac:dyDescent="0.25">
      <c r="B125" s="186"/>
      <c r="C125" s="186"/>
    </row>
    <row r="126" spans="2:21" ht="24.75" x14ac:dyDescent="0.25">
      <c r="B126" s="94" t="s">
        <v>173</v>
      </c>
      <c r="C126" s="9" t="s">
        <v>174</v>
      </c>
      <c r="D126" s="9"/>
      <c r="E126" s="9"/>
      <c r="F126" s="9" t="s">
        <v>175</v>
      </c>
      <c r="G126" s="9"/>
      <c r="H126" s="9"/>
      <c r="I126" s="9" t="s">
        <v>176</v>
      </c>
      <c r="J126" s="9"/>
      <c r="K126" s="9"/>
      <c r="L126" s="9" t="s">
        <v>177</v>
      </c>
      <c r="M126" s="9"/>
      <c r="N126" s="9"/>
    </row>
    <row r="127" spans="2:21" x14ac:dyDescent="0.25">
      <c r="B127" s="5">
        <v>40</v>
      </c>
      <c r="C127" s="2">
        <f>$K$42*(B127*21)</f>
        <v>4049.0369329846144</v>
      </c>
      <c r="F127" s="2">
        <f>(C127+$K$65)*0.05</f>
        <v>1159.2990955593639</v>
      </c>
      <c r="I127" s="2">
        <f>(C127+$K$65+F127)*6%</f>
        <v>1460.7168604047984</v>
      </c>
      <c r="L127" s="31">
        <f>(C127+$K$65+F127+I127)*14.25%</f>
        <v>3677.3546960690801</v>
      </c>
      <c r="M127" s="9"/>
      <c r="N127" s="9"/>
    </row>
    <row r="128" spans="2:21" x14ac:dyDescent="0.25">
      <c r="B128" s="5">
        <v>50</v>
      </c>
      <c r="C128" s="2">
        <f t="shared" ref="C128:C139" si="0">$K$42*(B128*21)</f>
        <v>5061.296166230768</v>
      </c>
      <c r="F128" s="2">
        <f t="shared" ref="F128:F139" si="1">(C128+$K$65)*0.05</f>
        <v>1209.9120572216716</v>
      </c>
      <c r="I128" s="2">
        <f t="shared" ref="I128:I139" si="2">(C128+$K$65+F128)*6%</f>
        <v>1524.4891920993061</v>
      </c>
      <c r="L128" s="31">
        <f t="shared" ref="L128:L139" si="3">(C128+$K$65+F128+I128)*14.25%</f>
        <v>3837.9015411100031</v>
      </c>
      <c r="M128" s="9"/>
      <c r="N128" s="9"/>
    </row>
    <row r="129" spans="2:14" x14ac:dyDescent="0.25">
      <c r="B129" s="5">
        <v>60</v>
      </c>
      <c r="C129" s="2">
        <f t="shared" si="0"/>
        <v>6073.5553994769216</v>
      </c>
      <c r="F129" s="2">
        <f t="shared" si="1"/>
        <v>1260.5250188839793</v>
      </c>
      <c r="I129" s="2">
        <f t="shared" si="2"/>
        <v>1588.2615237938137</v>
      </c>
      <c r="L129" s="31">
        <f t="shared" si="3"/>
        <v>3998.4483861509261</v>
      </c>
      <c r="M129" s="9"/>
      <c r="N129" s="9"/>
    </row>
    <row r="130" spans="2:14" x14ac:dyDescent="0.25">
      <c r="B130" s="5">
        <v>70</v>
      </c>
      <c r="C130" s="2">
        <f t="shared" si="0"/>
        <v>7085.8146327230752</v>
      </c>
      <c r="F130" s="2">
        <f t="shared" si="1"/>
        <v>1311.1379805462871</v>
      </c>
      <c r="I130" s="2">
        <f t="shared" si="2"/>
        <v>1652.0338554883215</v>
      </c>
      <c r="L130" s="31">
        <f t="shared" si="3"/>
        <v>4158.9952311918487</v>
      </c>
      <c r="M130" s="9"/>
      <c r="N130" s="9"/>
    </row>
    <row r="131" spans="2:14" x14ac:dyDescent="0.25">
      <c r="B131" s="5">
        <v>80</v>
      </c>
      <c r="C131" s="2">
        <f t="shared" si="0"/>
        <v>8098.0738659692288</v>
      </c>
      <c r="F131" s="2">
        <f t="shared" si="1"/>
        <v>1361.7509422085948</v>
      </c>
      <c r="I131" s="2">
        <f t="shared" si="2"/>
        <v>1715.806187182829</v>
      </c>
      <c r="L131" s="31">
        <f t="shared" si="3"/>
        <v>4319.5420762327722</v>
      </c>
      <c r="M131" s="9"/>
      <c r="N131" s="9"/>
    </row>
    <row r="132" spans="2:14" x14ac:dyDescent="0.25">
      <c r="B132" s="5">
        <v>90</v>
      </c>
      <c r="C132" s="2">
        <f t="shared" si="0"/>
        <v>9110.3330992153824</v>
      </c>
      <c r="F132" s="2">
        <f t="shared" si="1"/>
        <v>1412.3639038709025</v>
      </c>
      <c r="I132" s="2">
        <f t="shared" si="2"/>
        <v>1779.578518877337</v>
      </c>
      <c r="L132" s="31">
        <f t="shared" si="3"/>
        <v>4480.0889212736956</v>
      </c>
      <c r="M132" s="9"/>
      <c r="N132" s="9"/>
    </row>
    <row r="133" spans="2:14" x14ac:dyDescent="0.25">
      <c r="B133" s="5">
        <v>100</v>
      </c>
      <c r="C133" s="2">
        <f t="shared" si="0"/>
        <v>10122.592332461536</v>
      </c>
      <c r="F133" s="2">
        <f t="shared" si="1"/>
        <v>1462.97686553321</v>
      </c>
      <c r="I133" s="2">
        <f t="shared" si="2"/>
        <v>1843.3508505718444</v>
      </c>
      <c r="L133" s="31">
        <f t="shared" si="3"/>
        <v>4640.6357663146182</v>
      </c>
      <c r="M133" s="9"/>
      <c r="N133" s="9"/>
    </row>
    <row r="134" spans="2:14" x14ac:dyDescent="0.25">
      <c r="B134" s="5">
        <v>110</v>
      </c>
      <c r="C134" s="2">
        <f t="shared" si="0"/>
        <v>11134.85156570769</v>
      </c>
      <c r="F134" s="2">
        <f t="shared" si="1"/>
        <v>1513.5898271955177</v>
      </c>
      <c r="I134" s="2">
        <f t="shared" si="2"/>
        <v>1907.1231822663524</v>
      </c>
      <c r="L134" s="31">
        <f t="shared" si="3"/>
        <v>4801.1826113555417</v>
      </c>
      <c r="M134" s="9"/>
      <c r="N134" s="9"/>
    </row>
    <row r="135" spans="2:14" x14ac:dyDescent="0.25">
      <c r="B135" s="5">
        <v>120</v>
      </c>
      <c r="C135" s="2">
        <f t="shared" si="0"/>
        <v>12147.110798953843</v>
      </c>
      <c r="F135" s="2">
        <f t="shared" si="1"/>
        <v>1564.2027888578255</v>
      </c>
      <c r="I135" s="2">
        <f t="shared" si="2"/>
        <v>1970.8955139608597</v>
      </c>
      <c r="L135" s="31">
        <f t="shared" si="3"/>
        <v>4961.7294563964642</v>
      </c>
      <c r="M135" s="9"/>
      <c r="N135" s="9"/>
    </row>
    <row r="136" spans="2:14" x14ac:dyDescent="0.25">
      <c r="B136" s="5">
        <v>130</v>
      </c>
      <c r="C136" s="2">
        <f t="shared" si="0"/>
        <v>13159.370032199997</v>
      </c>
      <c r="F136" s="2">
        <f t="shared" si="1"/>
        <v>1614.8157505201332</v>
      </c>
      <c r="I136" s="2">
        <f t="shared" si="2"/>
        <v>2034.6678456553677</v>
      </c>
      <c r="L136" s="31">
        <f t="shared" si="3"/>
        <v>5122.2763014373886</v>
      </c>
      <c r="M136" s="9"/>
      <c r="N136" s="9"/>
    </row>
    <row r="137" spans="2:14" x14ac:dyDescent="0.25">
      <c r="B137" s="5">
        <v>140</v>
      </c>
      <c r="C137" s="2">
        <f t="shared" si="0"/>
        <v>14171.62926544615</v>
      </c>
      <c r="F137" s="2">
        <f t="shared" si="1"/>
        <v>1665.4287121824409</v>
      </c>
      <c r="I137" s="2">
        <f t="shared" si="2"/>
        <v>2098.4401773498753</v>
      </c>
      <c r="L137" s="31">
        <f t="shared" si="3"/>
        <v>5282.8231464783103</v>
      </c>
      <c r="M137" s="9"/>
      <c r="N137" s="9"/>
    </row>
    <row r="138" spans="2:14" x14ac:dyDescent="0.25">
      <c r="B138" s="5">
        <v>150</v>
      </c>
      <c r="C138" s="2">
        <f t="shared" si="0"/>
        <v>15183.888498692304</v>
      </c>
      <c r="F138" s="2">
        <f t="shared" si="1"/>
        <v>1716.0416738447486</v>
      </c>
      <c r="I138" s="2">
        <f t="shared" si="2"/>
        <v>2162.2125090443828</v>
      </c>
      <c r="L138" s="31">
        <f t="shared" si="3"/>
        <v>5443.3699915192337</v>
      </c>
      <c r="M138" s="9"/>
      <c r="N138" s="9"/>
    </row>
    <row r="139" spans="2:14" x14ac:dyDescent="0.25">
      <c r="B139" s="5">
        <v>160</v>
      </c>
      <c r="C139" s="2">
        <f t="shared" si="0"/>
        <v>16196.147731938458</v>
      </c>
      <c r="F139" s="2">
        <f t="shared" si="1"/>
        <v>1766.6546355070561</v>
      </c>
      <c r="I139" s="2">
        <f t="shared" si="2"/>
        <v>2225.9848407388904</v>
      </c>
      <c r="L139" s="31">
        <f t="shared" si="3"/>
        <v>5603.9168365601563</v>
      </c>
      <c r="M139" s="9"/>
      <c r="N139" s="9"/>
    </row>
    <row r="140" spans="2:14" x14ac:dyDescent="0.25">
      <c r="B140" s="5"/>
    </row>
    <row r="143" spans="2:14" x14ac:dyDescent="0.25">
      <c r="B143" s="187" t="s">
        <v>178</v>
      </c>
      <c r="C143" s="187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</row>
    <row r="144" spans="2:14" x14ac:dyDescent="0.25">
      <c r="B144" s="187"/>
      <c r="C144" s="187"/>
    </row>
    <row r="145" spans="2:14" x14ac:dyDescent="0.25">
      <c r="B145" s="187"/>
      <c r="C145" s="187"/>
    </row>
    <row r="146" spans="2:14" x14ac:dyDescent="0.25">
      <c r="B146" s="187"/>
      <c r="C146" s="187"/>
    </row>
    <row r="147" spans="2:14" ht="24.75" x14ac:dyDescent="0.25">
      <c r="B147" s="94" t="s">
        <v>173</v>
      </c>
      <c r="C147" s="9" t="s">
        <v>174</v>
      </c>
      <c r="D147" s="9"/>
      <c r="E147" s="9"/>
      <c r="F147" s="9" t="s">
        <v>175</v>
      </c>
      <c r="G147" s="9"/>
      <c r="H147" s="9"/>
      <c r="I147" s="9" t="s">
        <v>176</v>
      </c>
      <c r="J147" s="9"/>
      <c r="K147" s="9"/>
      <c r="L147" s="9" t="s">
        <v>177</v>
      </c>
      <c r="M147" s="9"/>
      <c r="N147" s="9"/>
    </row>
    <row r="148" spans="2:14" x14ac:dyDescent="0.25">
      <c r="B148" s="5">
        <v>40</v>
      </c>
      <c r="C148" s="2">
        <f>($K$42*(B148*21))*1.154</f>
        <v>4672.5886206642444</v>
      </c>
      <c r="F148" s="2">
        <f>(C148+$K$65)*0.05</f>
        <v>1190.4766799433455</v>
      </c>
      <c r="I148" s="2">
        <f>(C148+$K$65+F148)*6%</f>
        <v>1500.0006167286153</v>
      </c>
      <c r="L148" s="31">
        <f>(C148+$K$65+F148+I148)*14.25%</f>
        <v>3776.2515526142888</v>
      </c>
      <c r="M148" s="9"/>
      <c r="N148" s="9"/>
    </row>
    <row r="149" spans="2:14" x14ac:dyDescent="0.25">
      <c r="B149" s="5">
        <v>50</v>
      </c>
      <c r="C149" s="2">
        <f t="shared" ref="C149:C160" si="4">($K$42*(B149*21))*1.154</f>
        <v>5840.735775830306</v>
      </c>
      <c r="F149" s="2">
        <f t="shared" ref="F149:F160" si="5">(C149+$K$65)*0.05</f>
        <v>1248.8840377016486</v>
      </c>
      <c r="I149" s="2">
        <f t="shared" ref="I149:I160" si="6">(C149+$K$65+F149)*6%</f>
        <v>1573.593887504077</v>
      </c>
      <c r="L149" s="31">
        <f t="shared" ref="L149:L160" si="7">(C149+$K$65+F149+I149)*14.25%</f>
        <v>3961.5226117915136</v>
      </c>
      <c r="M149" s="9"/>
      <c r="N149" s="9"/>
    </row>
    <row r="150" spans="2:14" x14ac:dyDescent="0.25">
      <c r="B150" s="5">
        <v>60</v>
      </c>
      <c r="C150" s="2">
        <f t="shared" si="4"/>
        <v>7008.8829309963667</v>
      </c>
      <c r="F150" s="2">
        <f t="shared" si="5"/>
        <v>1307.2913954599517</v>
      </c>
      <c r="I150" s="2">
        <f t="shared" si="6"/>
        <v>1647.1871582795388</v>
      </c>
      <c r="L150" s="31">
        <f t="shared" si="7"/>
        <v>4146.7936709687392</v>
      </c>
      <c r="M150" s="9"/>
      <c r="N150" s="9"/>
    </row>
    <row r="151" spans="2:14" x14ac:dyDescent="0.25">
      <c r="B151" s="5">
        <v>70</v>
      </c>
      <c r="C151" s="2">
        <f t="shared" si="4"/>
        <v>8177.0300861624282</v>
      </c>
      <c r="F151" s="2">
        <f t="shared" si="5"/>
        <v>1365.6987532182548</v>
      </c>
      <c r="I151" s="2">
        <f t="shared" si="6"/>
        <v>1720.7804290550007</v>
      </c>
      <c r="L151" s="31">
        <f t="shared" si="7"/>
        <v>4332.0647301459639</v>
      </c>
      <c r="M151" s="9"/>
      <c r="N151" s="9"/>
    </row>
    <row r="152" spans="2:14" x14ac:dyDescent="0.25">
      <c r="B152" s="5">
        <v>80</v>
      </c>
      <c r="C152" s="2">
        <f t="shared" si="4"/>
        <v>9345.1772413284889</v>
      </c>
      <c r="F152" s="2">
        <f t="shared" si="5"/>
        <v>1424.1061109765578</v>
      </c>
      <c r="I152" s="2">
        <f t="shared" si="6"/>
        <v>1794.3736998304626</v>
      </c>
      <c r="L152" s="31">
        <f t="shared" si="7"/>
        <v>4517.3357893231896</v>
      </c>
      <c r="M152" s="9"/>
      <c r="N152" s="9"/>
    </row>
    <row r="153" spans="2:14" x14ac:dyDescent="0.25">
      <c r="B153" s="5">
        <v>90</v>
      </c>
      <c r="C153" s="2">
        <f t="shared" si="4"/>
        <v>10513.32439649455</v>
      </c>
      <c r="F153" s="2">
        <f t="shared" si="5"/>
        <v>1482.5134687348609</v>
      </c>
      <c r="I153" s="2">
        <f t="shared" si="6"/>
        <v>1867.9669706059244</v>
      </c>
      <c r="L153" s="31">
        <f t="shared" si="7"/>
        <v>4702.6068485004143</v>
      </c>
      <c r="M153" s="9"/>
      <c r="N153" s="9"/>
    </row>
    <row r="154" spans="2:14" x14ac:dyDescent="0.25">
      <c r="B154" s="5">
        <v>100</v>
      </c>
      <c r="C154" s="2">
        <f t="shared" si="4"/>
        <v>11681.471551660612</v>
      </c>
      <c r="F154" s="2">
        <f t="shared" si="5"/>
        <v>1540.920826493164</v>
      </c>
      <c r="I154" s="2">
        <f t="shared" si="6"/>
        <v>1941.5602413813863</v>
      </c>
      <c r="L154" s="31">
        <f t="shared" si="7"/>
        <v>4887.8779076776391</v>
      </c>
      <c r="M154" s="9"/>
      <c r="N154" s="9"/>
    </row>
    <row r="155" spans="2:14" x14ac:dyDescent="0.25">
      <c r="B155" s="5">
        <v>110</v>
      </c>
      <c r="C155" s="2">
        <f t="shared" si="4"/>
        <v>12849.618706826674</v>
      </c>
      <c r="F155" s="2">
        <f t="shared" si="5"/>
        <v>1599.3281842514671</v>
      </c>
      <c r="I155" s="2">
        <f t="shared" si="6"/>
        <v>2015.1535121568484</v>
      </c>
      <c r="L155" s="31">
        <f t="shared" si="7"/>
        <v>5073.1489668548647</v>
      </c>
      <c r="M155" s="9"/>
      <c r="N155" s="9"/>
    </row>
    <row r="156" spans="2:14" x14ac:dyDescent="0.25">
      <c r="B156" s="5">
        <v>120</v>
      </c>
      <c r="C156" s="2">
        <f t="shared" si="4"/>
        <v>14017.765861992733</v>
      </c>
      <c r="F156" s="2">
        <f t="shared" si="5"/>
        <v>1657.7355420097699</v>
      </c>
      <c r="I156" s="2">
        <f t="shared" si="6"/>
        <v>2088.7467829323095</v>
      </c>
      <c r="L156" s="31">
        <f t="shared" si="7"/>
        <v>5258.4200260320886</v>
      </c>
      <c r="M156" s="9"/>
      <c r="N156" s="9"/>
    </row>
    <row r="157" spans="2:14" x14ac:dyDescent="0.25">
      <c r="B157" s="5">
        <v>130</v>
      </c>
      <c r="C157" s="2">
        <f t="shared" si="4"/>
        <v>15185.913017158795</v>
      </c>
      <c r="F157" s="2">
        <f t="shared" si="5"/>
        <v>1716.1428997680732</v>
      </c>
      <c r="I157" s="2">
        <f t="shared" si="6"/>
        <v>2162.3400537077719</v>
      </c>
      <c r="L157" s="31">
        <f t="shared" si="7"/>
        <v>5443.6910852093151</v>
      </c>
      <c r="M157" s="9"/>
      <c r="N157" s="9"/>
    </row>
    <row r="158" spans="2:14" x14ac:dyDescent="0.25">
      <c r="B158" s="5">
        <v>140</v>
      </c>
      <c r="C158" s="2">
        <f t="shared" si="4"/>
        <v>16354.060172324856</v>
      </c>
      <c r="F158" s="2">
        <f t="shared" si="5"/>
        <v>1774.5502575263761</v>
      </c>
      <c r="I158" s="2">
        <f t="shared" si="6"/>
        <v>2235.9333244832337</v>
      </c>
      <c r="L158" s="31">
        <f t="shared" si="7"/>
        <v>5628.9621443865399</v>
      </c>
      <c r="M158" s="9"/>
      <c r="N158" s="9"/>
    </row>
    <row r="159" spans="2:14" x14ac:dyDescent="0.25">
      <c r="B159" s="5">
        <v>150</v>
      </c>
      <c r="C159" s="2">
        <f t="shared" si="4"/>
        <v>17522.207327490916</v>
      </c>
      <c r="F159" s="2">
        <f t="shared" si="5"/>
        <v>1832.9576152846794</v>
      </c>
      <c r="I159" s="2">
        <f t="shared" si="6"/>
        <v>2309.5265952586956</v>
      </c>
      <c r="L159" s="31">
        <f t="shared" si="7"/>
        <v>5814.2332035637655</v>
      </c>
      <c r="M159" s="9"/>
      <c r="N159" s="9"/>
    </row>
    <row r="160" spans="2:14" x14ac:dyDescent="0.25">
      <c r="B160" s="5">
        <v>160</v>
      </c>
      <c r="C160" s="2">
        <f t="shared" si="4"/>
        <v>18690.354482656978</v>
      </c>
      <c r="F160" s="2">
        <f t="shared" si="5"/>
        <v>1891.3649730429822</v>
      </c>
      <c r="I160" s="2">
        <f t="shared" si="6"/>
        <v>2383.1198660341574</v>
      </c>
      <c r="L160" s="31">
        <f t="shared" si="7"/>
        <v>5999.5042627409903</v>
      </c>
      <c r="M160" s="9"/>
      <c r="N160" s="9"/>
    </row>
  </sheetData>
  <mergeCells count="121">
    <mergeCell ref="B116:D116"/>
    <mergeCell ref="F116:G116"/>
    <mergeCell ref="L116:N116"/>
    <mergeCell ref="P116:Q116"/>
    <mergeCell ref="B122:C125"/>
    <mergeCell ref="B143:C146"/>
    <mergeCell ref="B113:D113"/>
    <mergeCell ref="L113:N113"/>
    <mergeCell ref="B114:D114"/>
    <mergeCell ref="L114:N114"/>
    <mergeCell ref="B115:C115"/>
    <mergeCell ref="L115:M115"/>
    <mergeCell ref="L109:M109"/>
    <mergeCell ref="P109:Q109"/>
    <mergeCell ref="F110:G110"/>
    <mergeCell ref="P110:Q110"/>
    <mergeCell ref="B112:D112"/>
    <mergeCell ref="F112:G112"/>
    <mergeCell ref="L112:N112"/>
    <mergeCell ref="P112:Q112"/>
    <mergeCell ref="B101:D101"/>
    <mergeCell ref="B102:D102"/>
    <mergeCell ref="B103:C103"/>
    <mergeCell ref="B104:D104"/>
    <mergeCell ref="F104:G104"/>
    <mergeCell ref="B109:C109"/>
    <mergeCell ref="F109:G109"/>
    <mergeCell ref="D95:E95"/>
    <mergeCell ref="B97:C97"/>
    <mergeCell ref="F97:G97"/>
    <mergeCell ref="F98:G98"/>
    <mergeCell ref="B100:D100"/>
    <mergeCell ref="F100:G100"/>
    <mergeCell ref="A79:J79"/>
    <mergeCell ref="A82:I82"/>
    <mergeCell ref="A84:H84"/>
    <mergeCell ref="A85:J85"/>
    <mergeCell ref="A89:J89"/>
    <mergeCell ref="A90:J90"/>
    <mergeCell ref="A74:E74"/>
    <mergeCell ref="A75:F75"/>
    <mergeCell ref="I75:J75"/>
    <mergeCell ref="I76:J76"/>
    <mergeCell ref="I77:J77"/>
    <mergeCell ref="I78:J78"/>
    <mergeCell ref="A65:J65"/>
    <mergeCell ref="A67:I67"/>
    <mergeCell ref="A69:E69"/>
    <mergeCell ref="I69:J69"/>
    <mergeCell ref="C70:F70"/>
    <mergeCell ref="C71:F71"/>
    <mergeCell ref="C54:F54"/>
    <mergeCell ref="C55:F55"/>
    <mergeCell ref="C58:F58"/>
    <mergeCell ref="C60:G60"/>
    <mergeCell ref="C62:E62"/>
    <mergeCell ref="C63:F63"/>
    <mergeCell ref="A49:E49"/>
    <mergeCell ref="H50:I50"/>
    <mergeCell ref="C51:F51"/>
    <mergeCell ref="H51:I51"/>
    <mergeCell ref="C52:F52"/>
    <mergeCell ref="C53:F53"/>
    <mergeCell ref="B41:D41"/>
    <mergeCell ref="F41:H41"/>
    <mergeCell ref="A42:E42"/>
    <mergeCell ref="A43:J43"/>
    <mergeCell ref="A45:J45"/>
    <mergeCell ref="A47:J47"/>
    <mergeCell ref="A36:E36"/>
    <mergeCell ref="B37:D37"/>
    <mergeCell ref="E37:F37"/>
    <mergeCell ref="B38:D38"/>
    <mergeCell ref="B39:D39"/>
    <mergeCell ref="B40:D40"/>
    <mergeCell ref="A28:D28"/>
    <mergeCell ref="E28:F28"/>
    <mergeCell ref="A31:F31"/>
    <mergeCell ref="A32:D32"/>
    <mergeCell ref="E32:F32"/>
    <mergeCell ref="A33:D33"/>
    <mergeCell ref="A25:D25"/>
    <mergeCell ref="E25:F25"/>
    <mergeCell ref="A26:D26"/>
    <mergeCell ref="E26:F26"/>
    <mergeCell ref="A27:D27"/>
    <mergeCell ref="E27:F27"/>
    <mergeCell ref="K18:N18"/>
    <mergeCell ref="A19:F19"/>
    <mergeCell ref="A20:F20"/>
    <mergeCell ref="A23:F23"/>
    <mergeCell ref="A24:D24"/>
    <mergeCell ref="E24:F24"/>
    <mergeCell ref="A16:D16"/>
    <mergeCell ref="E16:F16"/>
    <mergeCell ref="K16:N17"/>
    <mergeCell ref="H20:N21"/>
    <mergeCell ref="O16:O17"/>
    <mergeCell ref="P16:P17"/>
    <mergeCell ref="T17:V17"/>
    <mergeCell ref="A14:D14"/>
    <mergeCell ref="E14:F14"/>
    <mergeCell ref="K14:N15"/>
    <mergeCell ref="O14:O15"/>
    <mergeCell ref="P14:P15"/>
    <mergeCell ref="E15:F15"/>
    <mergeCell ref="A11:F11"/>
    <mergeCell ref="K11:N11"/>
    <mergeCell ref="A12:C12"/>
    <mergeCell ref="E12:F12"/>
    <mergeCell ref="K12:N12"/>
    <mergeCell ref="A13:D13"/>
    <mergeCell ref="E13:F13"/>
    <mergeCell ref="K13:N13"/>
    <mergeCell ref="C2:F6"/>
    <mergeCell ref="H3:P5"/>
    <mergeCell ref="F7:H7"/>
    <mergeCell ref="K7:N7"/>
    <mergeCell ref="B8:C8"/>
    <mergeCell ref="I9:P9"/>
    <mergeCell ref="A9:F9"/>
  </mergeCells>
  <conditionalFormatting sqref="P19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{3A9EC2F1-8734-494C-B6B5-99BCC8D098E3}</x14:id>
        </ext>
      </extLst>
    </cfRule>
  </conditionalFormatting>
  <dataValidations count="3">
    <dataValidation type="list" allowBlank="1" showInputMessage="1" showErrorMessage="1" sqref="F7:H7 T17:V17">
      <formula1>$Q$119:$Q$122</formula1>
    </dataValidation>
    <dataValidation type="list" allowBlank="1" showInputMessage="1" showErrorMessage="1" sqref="L51">
      <formula1>"LINEAR, MÉTODO COLE"</formula1>
    </dataValidation>
    <dataValidation type="list" allowBlank="1" showInputMessage="1" showErrorMessage="1" sqref="E15:F15">
      <formula1>"0,1,2,3,4,5,6,7,8,9,10,11,12,13,14,15"</formula1>
    </dataValidation>
  </dataValidations>
  <pageMargins left="0.51181102362204722" right="0.51181102362204722" top="0.78740157480314965" bottom="0.78740157480314965" header="0.31496062992125984" footer="0.31496062992125984"/>
  <pageSetup paperSize="9" scale="50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3A9EC2F1-8734-494C-B6B5-99BCC8D098E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P19</xm:sqref>
        </x14:conditionalFormatting>
      </x14:conditionalFormattings>
    </ext>
  </extLst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50">
    <tabColor rgb="FF0070C0"/>
  </sheetPr>
  <dimension ref="A2:V160"/>
  <sheetViews>
    <sheetView tabSelected="1" view="pageBreakPreview" topLeftCell="A47" zoomScale="85" zoomScaleNormal="100" zoomScaleSheetLayoutView="85" workbookViewId="0">
      <selection activeCell="A57" sqref="A57"/>
    </sheetView>
  </sheetViews>
  <sheetFormatPr defaultColWidth="8.85546875" defaultRowHeight="15" x14ac:dyDescent="0.25"/>
  <cols>
    <col min="2" max="2" width="14.140625" customWidth="1"/>
    <col min="3" max="3" width="15.28515625" customWidth="1"/>
    <col min="5" max="5" width="12.42578125" customWidth="1"/>
    <col min="6" max="6" width="13.5703125" customWidth="1"/>
    <col min="7" max="7" width="12.140625" customWidth="1"/>
    <col min="9" max="9" width="10.7109375" customWidth="1"/>
    <col min="10" max="10" width="12.140625" bestFit="1" customWidth="1"/>
    <col min="11" max="11" width="16.42578125" bestFit="1" customWidth="1"/>
    <col min="12" max="12" width="14.42578125" customWidth="1"/>
    <col min="14" max="14" width="6.42578125" customWidth="1"/>
    <col min="15" max="15" width="9" customWidth="1"/>
    <col min="16" max="16" width="10.42578125" customWidth="1"/>
    <col min="17" max="17" width="15.140625" customWidth="1"/>
    <col min="18" max="18" width="14.7109375" bestFit="1" customWidth="1"/>
    <col min="19" max="19" width="19.42578125" bestFit="1" customWidth="1"/>
  </cols>
  <sheetData>
    <row r="2" spans="1:19" x14ac:dyDescent="0.25">
      <c r="C2" s="239" t="s">
        <v>151</v>
      </c>
      <c r="D2" s="240"/>
      <c r="E2" s="240"/>
      <c r="F2" s="240"/>
    </row>
    <row r="3" spans="1:19" x14ac:dyDescent="0.25">
      <c r="C3" s="240"/>
      <c r="D3" s="240"/>
      <c r="E3" s="240"/>
      <c r="F3" s="240"/>
      <c r="H3" s="241" t="s">
        <v>64</v>
      </c>
      <c r="I3" s="239"/>
      <c r="J3" s="239"/>
      <c r="K3" s="239"/>
      <c r="L3" s="239"/>
      <c r="M3" s="239"/>
      <c r="N3" s="239"/>
      <c r="O3" s="239"/>
      <c r="P3" s="239"/>
    </row>
    <row r="4" spans="1:19" x14ac:dyDescent="0.25">
      <c r="C4" s="240"/>
      <c r="D4" s="240"/>
      <c r="E4" s="240"/>
      <c r="F4" s="240"/>
      <c r="H4" s="239"/>
      <c r="I4" s="239"/>
      <c r="J4" s="239"/>
      <c r="K4" s="239"/>
      <c r="L4" s="239"/>
      <c r="M4" s="239"/>
      <c r="N4" s="239"/>
      <c r="O4" s="239"/>
      <c r="P4" s="239"/>
    </row>
    <row r="5" spans="1:19" x14ac:dyDescent="0.25">
      <c r="C5" s="240"/>
      <c r="D5" s="240"/>
      <c r="E5" s="240"/>
      <c r="F5" s="240"/>
      <c r="H5" s="239"/>
      <c r="I5" s="239"/>
      <c r="J5" s="239"/>
      <c r="K5" s="239"/>
      <c r="L5" s="239"/>
      <c r="M5" s="239"/>
      <c r="N5" s="239"/>
      <c r="O5" s="239"/>
      <c r="P5" s="239"/>
    </row>
    <row r="6" spans="1:19" x14ac:dyDescent="0.25">
      <c r="C6" s="240"/>
      <c r="D6" s="240"/>
      <c r="E6" s="240"/>
      <c r="F6" s="240"/>
    </row>
    <row r="7" spans="1:19" ht="21" x14ac:dyDescent="0.35">
      <c r="E7" s="18" t="s">
        <v>80</v>
      </c>
      <c r="F7" s="235" t="s">
        <v>65</v>
      </c>
      <c r="G7" s="235"/>
      <c r="H7" s="235"/>
      <c r="K7" s="242" t="s">
        <v>286</v>
      </c>
      <c r="L7" s="243"/>
      <c r="M7" s="243"/>
      <c r="N7" s="243"/>
    </row>
    <row r="8" spans="1:19" ht="15.75" x14ac:dyDescent="0.25">
      <c r="B8" s="194"/>
      <c r="C8" s="194"/>
      <c r="D8" s="8"/>
      <c r="E8" s="8"/>
      <c r="F8" s="8"/>
      <c r="J8" s="9"/>
    </row>
    <row r="9" spans="1:19" ht="21" x14ac:dyDescent="0.35">
      <c r="A9" s="235" t="s">
        <v>352</v>
      </c>
      <c r="B9" s="235"/>
      <c r="C9" s="235"/>
      <c r="D9" s="235"/>
      <c r="E9" s="235"/>
      <c r="F9" s="235"/>
      <c r="I9" s="244" t="s">
        <v>157</v>
      </c>
      <c r="J9" s="244"/>
      <c r="K9" s="244"/>
      <c r="L9" s="244"/>
      <c r="M9" s="244"/>
      <c r="N9" s="244"/>
      <c r="O9" s="244"/>
      <c r="P9" s="244"/>
      <c r="R9" s="9" t="s">
        <v>155</v>
      </c>
      <c r="S9" s="9" t="s">
        <v>156</v>
      </c>
    </row>
    <row r="10" spans="1:19" x14ac:dyDescent="0.25">
      <c r="R10" s="2">
        <f>K43</f>
        <v>5061.296166230768</v>
      </c>
      <c r="S10" s="43">
        <f>K45</f>
        <v>2167.8584229568955</v>
      </c>
    </row>
    <row r="11" spans="1:19" ht="17.25" x14ac:dyDescent="0.3">
      <c r="A11" s="236" t="s">
        <v>150</v>
      </c>
      <c r="B11" s="237"/>
      <c r="C11" s="237"/>
      <c r="D11" s="237"/>
      <c r="E11" s="237"/>
      <c r="F11" s="238"/>
      <c r="G11" s="40" t="s">
        <v>0</v>
      </c>
      <c r="K11" s="206" t="s">
        <v>15</v>
      </c>
      <c r="L11" s="206"/>
      <c r="M11" s="206"/>
      <c r="N11" s="206"/>
      <c r="O11" s="46">
        <f>O12+O13</f>
        <v>68.599999999999994</v>
      </c>
      <c r="P11" s="47" t="s">
        <v>14</v>
      </c>
      <c r="R11" s="130">
        <f>K65/O18*O14</f>
        <v>13948.210625512147</v>
      </c>
      <c r="S11" s="130">
        <f>K65/O18*O16</f>
        <v>5188.7343526905188</v>
      </c>
    </row>
    <row r="12" spans="1:19" ht="15.75" x14ac:dyDescent="0.25">
      <c r="A12" s="214" t="s">
        <v>107</v>
      </c>
      <c r="B12" s="215"/>
      <c r="C12" s="215"/>
      <c r="D12" s="48"/>
      <c r="E12" s="218">
        <f>Insumos!$B$4</f>
        <v>531068.38</v>
      </c>
      <c r="F12" s="218"/>
      <c r="G12" s="1"/>
      <c r="K12" s="206" t="s">
        <v>136</v>
      </c>
      <c r="L12" s="206"/>
      <c r="M12" s="206"/>
      <c r="N12" s="206"/>
      <c r="O12" s="150">
        <v>50</v>
      </c>
      <c r="P12" s="47" t="s">
        <v>14</v>
      </c>
      <c r="R12" s="2">
        <f>K72/O18*O14</f>
        <v>1300.3176101515301</v>
      </c>
      <c r="S12" s="2">
        <f>K72/O18*O16</f>
        <v>483.7181509763692</v>
      </c>
    </row>
    <row r="13" spans="1:19" ht="15.75" x14ac:dyDescent="0.25">
      <c r="A13" s="214" t="s">
        <v>285</v>
      </c>
      <c r="B13" s="215"/>
      <c r="C13" s="215"/>
      <c r="D13" s="216"/>
      <c r="E13" s="198">
        <f>'DEPRECIAÇÃO LINEAR'!D15</f>
        <v>10</v>
      </c>
      <c r="F13" s="198"/>
      <c r="K13" s="206" t="s">
        <v>137</v>
      </c>
      <c r="L13" s="206"/>
      <c r="M13" s="206"/>
      <c r="N13" s="206"/>
      <c r="O13" s="150">
        <v>18.600000000000001</v>
      </c>
      <c r="P13" s="47" t="s">
        <v>14</v>
      </c>
      <c r="R13" s="2">
        <f>K79/O18*O14</f>
        <v>1942.826110063357</v>
      </c>
      <c r="S13" s="2">
        <f>K79/O18*O16</f>
        <v>722.73131294356881</v>
      </c>
    </row>
    <row r="14" spans="1:19" ht="15" customHeight="1" x14ac:dyDescent="0.25">
      <c r="A14" s="214" t="s">
        <v>23</v>
      </c>
      <c r="B14" s="215"/>
      <c r="C14" s="215"/>
      <c r="D14" s="216"/>
      <c r="E14" s="219">
        <v>2026</v>
      </c>
      <c r="F14" s="220"/>
      <c r="K14" s="223" t="s">
        <v>138</v>
      </c>
      <c r="L14" s="223"/>
      <c r="M14" s="223"/>
      <c r="N14" s="223"/>
      <c r="O14" s="232">
        <f>O12*21</f>
        <v>1050</v>
      </c>
      <c r="P14" s="234" t="s">
        <v>14</v>
      </c>
      <c r="R14" s="2">
        <f>SUM(R10:R13)</f>
        <v>22252.650511957803</v>
      </c>
      <c r="S14" s="2">
        <f>SUM(S10:S13)</f>
        <v>8563.0422395673522</v>
      </c>
    </row>
    <row r="15" spans="1:19" ht="15.75" customHeight="1" x14ac:dyDescent="0.25">
      <c r="A15" s="49" t="s">
        <v>79</v>
      </c>
      <c r="B15" s="48"/>
      <c r="C15" s="48"/>
      <c r="D15" s="48"/>
      <c r="E15" s="198">
        <v>0</v>
      </c>
      <c r="F15" s="198"/>
      <c r="G15" s="41" t="s">
        <v>128</v>
      </c>
      <c r="I15" s="28"/>
      <c r="J15" s="28"/>
      <c r="K15" s="223"/>
      <c r="L15" s="223"/>
      <c r="M15" s="223"/>
      <c r="N15" s="223"/>
      <c r="O15" s="233"/>
      <c r="P15" s="234"/>
      <c r="R15" s="31">
        <f>IFERROR(R14/O14,0)</f>
        <v>21.19300048757886</v>
      </c>
      <c r="S15" s="31">
        <f>IFERROR(S14/O16,0)</f>
        <v>21.922791191928702</v>
      </c>
    </row>
    <row r="16" spans="1:19" ht="15" customHeight="1" x14ac:dyDescent="0.25">
      <c r="A16" s="214" t="s">
        <v>84</v>
      </c>
      <c r="B16" s="215"/>
      <c r="C16" s="215"/>
      <c r="D16" s="215"/>
      <c r="E16" s="198" t="str">
        <f>IF($F$7=$D$95,F104,IF($F$7=$D$107,F116,IF($F$7=$N$95,Q104,IF($F$7=$O$107,P116,""))))</f>
        <v>ATÉ 59 ALUNOS</v>
      </c>
      <c r="F16" s="198"/>
      <c r="I16" s="28"/>
      <c r="J16" s="28"/>
      <c r="K16" s="223" t="s">
        <v>139</v>
      </c>
      <c r="L16" s="223"/>
      <c r="M16" s="223"/>
      <c r="N16" s="223"/>
      <c r="O16" s="232">
        <f>O13*21</f>
        <v>390.6</v>
      </c>
      <c r="P16" s="234" t="s">
        <v>14</v>
      </c>
    </row>
    <row r="17" spans="1:22" ht="15" customHeight="1" x14ac:dyDescent="0.35">
      <c r="I17" s="28"/>
      <c r="J17" s="28"/>
      <c r="K17" s="223"/>
      <c r="L17" s="223"/>
      <c r="M17" s="223"/>
      <c r="N17" s="223"/>
      <c r="O17" s="233"/>
      <c r="P17" s="234"/>
      <c r="R17" s="2">
        <f>R14+S14</f>
        <v>30815.692751525155</v>
      </c>
      <c r="T17" s="235"/>
      <c r="U17" s="235"/>
      <c r="V17" s="235"/>
    </row>
    <row r="18" spans="1:22" ht="15" customHeight="1" x14ac:dyDescent="0.25">
      <c r="I18" s="28"/>
      <c r="J18" s="28"/>
      <c r="K18" s="223" t="s">
        <v>140</v>
      </c>
      <c r="L18" s="223"/>
      <c r="M18" s="223"/>
      <c r="N18" s="223"/>
      <c r="O18" s="46">
        <f>O16+O14</f>
        <v>1440.6</v>
      </c>
      <c r="P18" s="47" t="s">
        <v>14</v>
      </c>
      <c r="R18" s="2">
        <f>R17/O18</f>
        <v>21.390873768933194</v>
      </c>
    </row>
    <row r="19" spans="1:22" ht="15.75" customHeight="1" x14ac:dyDescent="0.3">
      <c r="A19" s="224" t="s">
        <v>1</v>
      </c>
      <c r="B19" s="225"/>
      <c r="C19" s="225"/>
      <c r="D19" s="225"/>
      <c r="E19" s="225"/>
      <c r="F19" s="225"/>
      <c r="I19" s="29"/>
      <c r="J19" s="29"/>
      <c r="K19" s="29"/>
      <c r="L19" s="29"/>
      <c r="M19" s="29"/>
    </row>
    <row r="20" spans="1:22" ht="15" customHeight="1" x14ac:dyDescent="0.25">
      <c r="A20" s="206" t="s">
        <v>106</v>
      </c>
      <c r="B20" s="206"/>
      <c r="C20" s="206"/>
      <c r="D20" s="206"/>
      <c r="E20" s="206"/>
      <c r="F20" s="214"/>
      <c r="O20" s="93">
        <f>K90</f>
        <v>21.39087376893319</v>
      </c>
      <c r="R20" s="93">
        <f>K90</f>
        <v>21.39087376893319</v>
      </c>
    </row>
    <row r="21" spans="1:22" ht="15.75" customHeight="1" x14ac:dyDescent="0.25">
      <c r="O21" s="2"/>
    </row>
    <row r="22" spans="1:22" ht="15.75" thickBot="1" x14ac:dyDescent="0.3"/>
    <row r="23" spans="1:22" ht="17.25" customHeight="1" x14ac:dyDescent="0.3">
      <c r="A23" s="224" t="s">
        <v>2</v>
      </c>
      <c r="B23" s="225"/>
      <c r="C23" s="225"/>
      <c r="D23" s="225"/>
      <c r="E23" s="225"/>
      <c r="F23" s="225"/>
      <c r="G23" s="291" t="s">
        <v>311</v>
      </c>
      <c r="H23" s="292"/>
      <c r="I23" s="292"/>
      <c r="J23" s="292"/>
      <c r="K23" s="292"/>
      <c r="L23" s="292"/>
      <c r="M23" s="292"/>
      <c r="N23" s="292"/>
      <c r="O23" s="292"/>
      <c r="P23" s="293"/>
    </row>
    <row r="24" spans="1:22" ht="16.5" customHeight="1" thickBot="1" x14ac:dyDescent="0.3">
      <c r="A24" s="214" t="s">
        <v>11</v>
      </c>
      <c r="B24" s="215"/>
      <c r="C24" s="215"/>
      <c r="D24" s="215"/>
      <c r="E24" s="198">
        <f>IF($F$7=$D$95,F100,IF($F$7=$D$107,F112,IF($F$7=$N$95,Q100,IF($F$7=$O$107,P112,""))))</f>
        <v>6</v>
      </c>
      <c r="F24" s="198"/>
      <c r="G24" s="294"/>
      <c r="H24" s="295"/>
      <c r="I24" s="295"/>
      <c r="J24" s="295"/>
      <c r="K24" s="295"/>
      <c r="L24" s="295"/>
      <c r="M24" s="295"/>
      <c r="N24" s="295"/>
      <c r="O24" s="295"/>
      <c r="P24" s="296"/>
    </row>
    <row r="25" spans="1:22" ht="15.75" x14ac:dyDescent="0.25">
      <c r="A25" s="214" t="s">
        <v>9</v>
      </c>
      <c r="B25" s="215"/>
      <c r="C25" s="215"/>
      <c r="D25" s="216"/>
      <c r="E25" s="218">
        <f>Insumos!$B$5</f>
        <v>2453.2399999999998</v>
      </c>
      <c r="F25" s="218"/>
    </row>
    <row r="26" spans="1:22" ht="15.75" x14ac:dyDescent="0.25">
      <c r="A26" s="214" t="s">
        <v>147</v>
      </c>
      <c r="B26" s="215"/>
      <c r="C26" s="215"/>
      <c r="D26" s="216"/>
      <c r="E26" s="219">
        <v>2</v>
      </c>
      <c r="F26" s="220"/>
    </row>
    <row r="27" spans="1:22" ht="15.75" x14ac:dyDescent="0.25">
      <c r="A27" s="214" t="s">
        <v>148</v>
      </c>
      <c r="B27" s="215"/>
      <c r="C27" s="215"/>
      <c r="D27" s="216"/>
      <c r="E27" s="221">
        <f>Insumos!$B$6</f>
        <v>975.83</v>
      </c>
      <c r="F27" s="222"/>
    </row>
    <row r="28" spans="1:22" ht="15.75" x14ac:dyDescent="0.25">
      <c r="A28" s="214" t="s">
        <v>149</v>
      </c>
      <c r="B28" s="215"/>
      <c r="C28" s="215"/>
      <c r="D28" s="216"/>
      <c r="E28" s="217">
        <v>100000</v>
      </c>
      <c r="F28" s="217"/>
    </row>
    <row r="31" spans="1:22" ht="15.75" x14ac:dyDescent="0.25">
      <c r="A31" s="191" t="s">
        <v>3</v>
      </c>
      <c r="B31" s="192"/>
      <c r="C31" s="192"/>
      <c r="D31" s="192"/>
      <c r="E31" s="192"/>
      <c r="F31" s="192"/>
    </row>
    <row r="32" spans="1:22" ht="15.75" x14ac:dyDescent="0.25">
      <c r="A32" s="214" t="s">
        <v>19</v>
      </c>
      <c r="B32" s="215"/>
      <c r="C32" s="215"/>
      <c r="D32" s="216"/>
      <c r="E32" s="218">
        <f>Insumos!$B$7</f>
        <v>7.6</v>
      </c>
      <c r="F32" s="218"/>
    </row>
    <row r="33" spans="1:14" ht="15.75" x14ac:dyDescent="0.25">
      <c r="A33" s="214" t="s">
        <v>17</v>
      </c>
      <c r="B33" s="215"/>
      <c r="C33" s="215"/>
      <c r="D33" s="216"/>
      <c r="E33" s="46">
        <f>IF($F$7=$D$95,G103,IF($F$7=$D$107,G115,IF($F$7=$N$95,Q103,IF($F$7=$O$107,Q115,""))))</f>
        <v>2.6</v>
      </c>
      <c r="F33" s="50" t="s">
        <v>18</v>
      </c>
    </row>
    <row r="36" spans="1:14" ht="17.25" x14ac:dyDescent="0.3">
      <c r="A36" s="208" t="s">
        <v>20</v>
      </c>
      <c r="B36" s="209"/>
      <c r="C36" s="209"/>
      <c r="D36" s="209"/>
      <c r="E36" s="209"/>
    </row>
    <row r="37" spans="1:14" x14ac:dyDescent="0.25">
      <c r="B37" s="210"/>
      <c r="C37" s="210"/>
      <c r="D37" s="211"/>
      <c r="E37" s="212" t="s">
        <v>4</v>
      </c>
      <c r="F37" s="213"/>
    </row>
    <row r="38" spans="1:14" ht="15.75" x14ac:dyDescent="0.25">
      <c r="A38" s="46" t="s">
        <v>346</v>
      </c>
      <c r="B38" s="214" t="s">
        <v>52</v>
      </c>
      <c r="C38" s="215"/>
      <c r="D38" s="216"/>
      <c r="E38" s="46">
        <f>1/E33</f>
        <v>0.38461538461538458</v>
      </c>
      <c r="F38" s="7" t="s">
        <v>5</v>
      </c>
      <c r="G38" s="7"/>
      <c r="H38" s="7"/>
      <c r="I38" s="7"/>
      <c r="J38" s="7"/>
      <c r="K38" s="58">
        <f>E32*E38</f>
        <v>2.9230769230769225</v>
      </c>
      <c r="L38" s="51" t="s">
        <v>13</v>
      </c>
      <c r="N38" s="2"/>
    </row>
    <row r="39" spans="1:14" ht="15.75" x14ac:dyDescent="0.25">
      <c r="A39" s="46" t="s">
        <v>6</v>
      </c>
      <c r="B39" s="206" t="s">
        <v>152</v>
      </c>
      <c r="C39" s="206"/>
      <c r="D39" s="206"/>
      <c r="E39" s="46">
        <v>0.04</v>
      </c>
      <c r="F39" s="7" t="s">
        <v>5</v>
      </c>
      <c r="G39" s="7"/>
      <c r="H39" s="7"/>
      <c r="I39" s="7"/>
      <c r="J39" s="7"/>
      <c r="K39" s="58">
        <f>E39*E32</f>
        <v>0.30399999999999999</v>
      </c>
      <c r="L39" s="51" t="s">
        <v>13</v>
      </c>
    </row>
    <row r="40" spans="1:14" ht="15.75" x14ac:dyDescent="0.25">
      <c r="A40" s="46" t="s">
        <v>7</v>
      </c>
      <c r="B40" s="206" t="s">
        <v>8</v>
      </c>
      <c r="C40" s="206"/>
      <c r="D40" s="206"/>
      <c r="E40" s="46"/>
      <c r="F40" s="7"/>
      <c r="G40" s="7"/>
      <c r="H40" s="7"/>
      <c r="I40" s="7"/>
      <c r="J40" s="7"/>
      <c r="K40" s="58">
        <f>((E25*E24)+(E26*E24*E27))/E28</f>
        <v>0.26429400000000003</v>
      </c>
      <c r="L40" s="51" t="s">
        <v>13</v>
      </c>
    </row>
    <row r="41" spans="1:14" ht="15.75" x14ac:dyDescent="0.25">
      <c r="A41" s="46" t="s">
        <v>12</v>
      </c>
      <c r="B41" s="206" t="s">
        <v>153</v>
      </c>
      <c r="C41" s="206"/>
      <c r="D41" s="206"/>
      <c r="E41" s="70">
        <v>3.0000000000000001E-6</v>
      </c>
      <c r="F41" s="193" t="s">
        <v>10</v>
      </c>
      <c r="G41" s="193"/>
      <c r="H41" s="193"/>
      <c r="I41" s="7"/>
      <c r="J41" s="7"/>
      <c r="K41" s="58">
        <f>(E41*E12)-(K40)</f>
        <v>1.32891114</v>
      </c>
      <c r="L41" s="51" t="s">
        <v>13</v>
      </c>
    </row>
    <row r="42" spans="1:14" ht="15.75" x14ac:dyDescent="0.25">
      <c r="A42" s="207"/>
      <c r="B42" s="207"/>
      <c r="C42" s="207"/>
      <c r="D42" s="207"/>
      <c r="E42" s="207"/>
      <c r="F42" s="7"/>
      <c r="G42" s="7"/>
      <c r="H42" s="7"/>
      <c r="I42" s="7"/>
      <c r="J42" s="7"/>
      <c r="K42" s="58">
        <f>SUM(K38:K41)</f>
        <v>4.8202820630769221</v>
      </c>
      <c r="L42" s="51" t="s">
        <v>13</v>
      </c>
    </row>
    <row r="43" spans="1:14" ht="21" customHeight="1" x14ac:dyDescent="0.25">
      <c r="A43" s="200" t="s">
        <v>144</v>
      </c>
      <c r="B43" s="200"/>
      <c r="C43" s="200"/>
      <c r="D43" s="200"/>
      <c r="E43" s="200"/>
      <c r="F43" s="200"/>
      <c r="G43" s="200"/>
      <c r="H43" s="200"/>
      <c r="I43" s="200"/>
      <c r="J43" s="200"/>
      <c r="K43" s="68">
        <f>K42*O14</f>
        <v>5061.296166230768</v>
      </c>
      <c r="L43" s="52" t="s">
        <v>16</v>
      </c>
    </row>
    <row r="45" spans="1:14" ht="18.75" x14ac:dyDescent="0.3">
      <c r="A45" s="190" t="s">
        <v>145</v>
      </c>
      <c r="B45" s="190"/>
      <c r="C45" s="190"/>
      <c r="D45" s="190"/>
      <c r="E45" s="190"/>
      <c r="F45" s="190"/>
      <c r="G45" s="190"/>
      <c r="H45" s="190"/>
      <c r="I45" s="190"/>
      <c r="J45" s="190"/>
      <c r="K45" s="65">
        <f>K42*O16*1.1514</f>
        <v>2167.8584229568955</v>
      </c>
      <c r="L45" s="53" t="s">
        <v>16</v>
      </c>
    </row>
    <row r="46" spans="1:14" ht="15.75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</row>
    <row r="47" spans="1:14" ht="18.75" x14ac:dyDescent="0.3">
      <c r="A47" s="190" t="s">
        <v>146</v>
      </c>
      <c r="B47" s="190"/>
      <c r="C47" s="190"/>
      <c r="D47" s="190"/>
      <c r="E47" s="190"/>
      <c r="F47" s="190"/>
      <c r="G47" s="190"/>
      <c r="H47" s="190"/>
      <c r="I47" s="190"/>
      <c r="J47" s="190"/>
      <c r="K47" s="65">
        <f>K43+K45</f>
        <v>7229.1545891876631</v>
      </c>
      <c r="L47" s="54" t="s">
        <v>16</v>
      </c>
    </row>
    <row r="49" spans="1:12" ht="15.75" x14ac:dyDescent="0.25">
      <c r="A49" s="197" t="s">
        <v>21</v>
      </c>
      <c r="B49" s="204"/>
      <c r="C49" s="204"/>
      <c r="D49" s="204"/>
      <c r="E49" s="204"/>
      <c r="F49" s="7"/>
      <c r="G49" s="7"/>
      <c r="H49" s="7"/>
      <c r="I49" s="7"/>
      <c r="J49" s="7"/>
      <c r="K49" s="7"/>
      <c r="L49" s="7"/>
    </row>
    <row r="50" spans="1:12" ht="15.75" x14ac:dyDescent="0.25">
      <c r="A50" s="3"/>
      <c r="B50" s="45"/>
      <c r="C50" s="45"/>
      <c r="D50" s="45"/>
      <c r="E50" s="45"/>
      <c r="F50" s="7"/>
      <c r="G50" s="7"/>
      <c r="H50" s="205" t="s">
        <v>25</v>
      </c>
      <c r="I50" s="205"/>
      <c r="J50" s="7"/>
      <c r="K50" s="7"/>
      <c r="L50" s="7"/>
    </row>
    <row r="51" spans="1:12" ht="15.75" x14ac:dyDescent="0.25">
      <c r="A51" s="7" t="s">
        <v>22</v>
      </c>
      <c r="B51" s="7"/>
      <c r="C51" s="193" t="s">
        <v>24</v>
      </c>
      <c r="D51" s="193"/>
      <c r="E51" s="193"/>
      <c r="F51" s="193"/>
      <c r="G51" s="7"/>
      <c r="H51" s="195"/>
      <c r="I51" s="195"/>
      <c r="J51" s="58"/>
      <c r="K51" s="59">
        <f>IF(L51="LINEAR",'DEPRECIAÇÃO LINEAR'!H23,(VLOOKUP(E15,'DEPRECIAÇÃO LINEAR'!W12:AM25,17,0)))</f>
        <v>3983.0128500000005</v>
      </c>
      <c r="L51" s="55" t="s">
        <v>130</v>
      </c>
    </row>
    <row r="52" spans="1:12" ht="15.75" x14ac:dyDescent="0.25">
      <c r="A52" s="7" t="s">
        <v>26</v>
      </c>
      <c r="B52" s="7"/>
      <c r="C52" s="193" t="s">
        <v>27</v>
      </c>
      <c r="D52" s="193"/>
      <c r="E52" s="193"/>
      <c r="F52" s="193"/>
      <c r="G52" s="7"/>
      <c r="H52" s="7"/>
      <c r="I52" s="7"/>
      <c r="J52" s="58"/>
      <c r="K52" s="58"/>
      <c r="L52" s="7"/>
    </row>
    <row r="53" spans="1:12" ht="15.75" x14ac:dyDescent="0.25">
      <c r="A53" s="7"/>
      <c r="B53" s="7" t="s">
        <v>31</v>
      </c>
      <c r="C53" s="193" t="s">
        <v>28</v>
      </c>
      <c r="D53" s="193"/>
      <c r="E53" s="193"/>
      <c r="F53" s="193"/>
      <c r="G53" s="7"/>
      <c r="H53" s="7"/>
      <c r="I53" s="7"/>
      <c r="J53" s="58"/>
      <c r="K53" s="58">
        <f>'Motorista de Veiculo Pesado'!E90</f>
        <v>8468.4608078400015</v>
      </c>
      <c r="L53" s="7"/>
    </row>
    <row r="54" spans="1:12" ht="15.75" x14ac:dyDescent="0.25">
      <c r="A54" s="7"/>
      <c r="B54" s="7" t="s">
        <v>32</v>
      </c>
      <c r="C54" s="193" t="s">
        <v>29</v>
      </c>
      <c r="D54" s="193"/>
      <c r="E54" s="193"/>
      <c r="F54" s="193"/>
      <c r="G54" s="7"/>
      <c r="H54" s="7"/>
      <c r="I54" s="7"/>
      <c r="J54" s="58"/>
      <c r="K54" s="58">
        <f>'Monitor de Transporte Escolar'!E90</f>
        <v>4485.726463695999</v>
      </c>
      <c r="L54" s="7"/>
    </row>
    <row r="55" spans="1:12" ht="15.75" x14ac:dyDescent="0.25">
      <c r="A55" s="7" t="s">
        <v>30</v>
      </c>
      <c r="B55" s="7"/>
      <c r="C55" s="193" t="s">
        <v>34</v>
      </c>
      <c r="D55" s="193"/>
      <c r="E55" s="193"/>
      <c r="F55" s="193"/>
      <c r="G55" s="7"/>
      <c r="H55" s="7"/>
      <c r="I55" s="7"/>
      <c r="J55" s="58"/>
      <c r="K55" s="58"/>
      <c r="L55" s="56"/>
    </row>
    <row r="56" spans="1:12" ht="15.75" x14ac:dyDescent="0.25">
      <c r="A56" s="7"/>
      <c r="B56" s="7" t="s">
        <v>33</v>
      </c>
      <c r="C56" s="7" t="s">
        <v>35</v>
      </c>
      <c r="D56" s="7"/>
      <c r="E56" s="7"/>
      <c r="F56" s="7"/>
      <c r="G56" s="7"/>
      <c r="H56" s="7"/>
      <c r="I56" s="7"/>
      <c r="J56" s="58">
        <f>1/100*E12</f>
        <v>5310.6837999999998</v>
      </c>
      <c r="K56" s="58">
        <f>J56/12</f>
        <v>442.55698333333333</v>
      </c>
      <c r="L56" s="7"/>
    </row>
    <row r="57" spans="1:12" ht="15.75" x14ac:dyDescent="0.25">
      <c r="A57" s="7"/>
      <c r="B57" s="7" t="s">
        <v>36</v>
      </c>
      <c r="C57" s="7" t="s">
        <v>37</v>
      </c>
      <c r="D57" s="7"/>
      <c r="E57" s="7"/>
      <c r="F57" s="7"/>
      <c r="G57" s="7"/>
      <c r="H57" s="7"/>
      <c r="I57" s="7"/>
      <c r="J57" s="58">
        <v>230.25</v>
      </c>
      <c r="K57" s="58">
        <f>J57/12</f>
        <v>19.1875</v>
      </c>
      <c r="L57" s="7"/>
    </row>
    <row r="58" spans="1:12" ht="15.75" x14ac:dyDescent="0.25">
      <c r="A58" s="7"/>
      <c r="B58" s="7" t="s">
        <v>38</v>
      </c>
      <c r="C58" s="193" t="s">
        <v>39</v>
      </c>
      <c r="D58" s="193"/>
      <c r="E58" s="193"/>
      <c r="F58" s="193"/>
      <c r="G58" s="7"/>
      <c r="H58" s="7"/>
      <c r="I58" s="7"/>
      <c r="J58" s="58">
        <v>161.80000000000001</v>
      </c>
      <c r="K58" s="58">
        <f>J58/12</f>
        <v>13.483333333333334</v>
      </c>
      <c r="L58" s="7"/>
    </row>
    <row r="59" spans="1:12" ht="15.75" x14ac:dyDescent="0.25">
      <c r="A59" s="7" t="s">
        <v>41</v>
      </c>
      <c r="B59" s="7"/>
      <c r="C59" s="7" t="s">
        <v>40</v>
      </c>
      <c r="D59" s="7"/>
      <c r="E59" s="7"/>
      <c r="F59" s="7"/>
      <c r="G59" s="7"/>
      <c r="H59" s="7"/>
      <c r="I59" s="7"/>
      <c r="J59" s="58">
        <v>0</v>
      </c>
      <c r="K59" s="58">
        <f>J59/12</f>
        <v>0</v>
      </c>
      <c r="L59" s="7"/>
    </row>
    <row r="60" spans="1:12" ht="15.75" x14ac:dyDescent="0.25">
      <c r="A60" s="7" t="s">
        <v>57</v>
      </c>
      <c r="B60" s="7"/>
      <c r="C60" s="193" t="s">
        <v>58</v>
      </c>
      <c r="D60" s="193"/>
      <c r="E60" s="193"/>
      <c r="F60" s="193"/>
      <c r="G60" s="193"/>
      <c r="H60" s="7"/>
      <c r="I60" s="7"/>
      <c r="J60" s="58">
        <f>Insumos!$B$8</f>
        <v>350.88</v>
      </c>
      <c r="K60" s="58">
        <f>4*J60</f>
        <v>1403.52</v>
      </c>
      <c r="L60" s="7"/>
    </row>
    <row r="61" spans="1:12" ht="15.75" x14ac:dyDescent="0.25">
      <c r="A61" s="7" t="s">
        <v>60</v>
      </c>
      <c r="B61" s="7"/>
      <c r="C61" s="45" t="s">
        <v>63</v>
      </c>
      <c r="D61" s="45"/>
      <c r="E61" s="45"/>
      <c r="F61" s="45"/>
      <c r="G61" s="45"/>
      <c r="H61" s="7"/>
      <c r="I61" s="7"/>
      <c r="J61" s="58">
        <f>Insumos!$B$9</f>
        <v>2680.95</v>
      </c>
      <c r="K61" s="58">
        <f>J61/12</f>
        <v>223.41249999999999</v>
      </c>
      <c r="L61" s="7"/>
    </row>
    <row r="62" spans="1:12" ht="15.75" x14ac:dyDescent="0.25">
      <c r="A62" s="7" t="s">
        <v>61</v>
      </c>
      <c r="B62" s="7"/>
      <c r="C62" s="193" t="s">
        <v>62</v>
      </c>
      <c r="D62" s="193"/>
      <c r="E62" s="193"/>
      <c r="F62" s="45"/>
      <c r="G62" s="45"/>
      <c r="H62" s="7"/>
      <c r="I62" s="7"/>
      <c r="J62" s="60">
        <f>Insumos!$B$10</f>
        <v>932.23</v>
      </c>
      <c r="K62" s="58">
        <f>J62/12</f>
        <v>77.685833333333335</v>
      </c>
      <c r="L62" s="7"/>
    </row>
    <row r="63" spans="1:12" ht="15.75" x14ac:dyDescent="0.25">
      <c r="A63" s="7" t="s">
        <v>142</v>
      </c>
      <c r="B63" s="7"/>
      <c r="C63" s="203" t="s">
        <v>143</v>
      </c>
      <c r="D63" s="203"/>
      <c r="E63" s="203"/>
      <c r="F63" s="203"/>
      <c r="G63" s="164"/>
      <c r="H63" s="7"/>
      <c r="I63" s="7"/>
      <c r="J63" s="60">
        <f>Insumos!$B$11</f>
        <v>471.82</v>
      </c>
      <c r="K63" s="72">
        <f>J63/24</f>
        <v>19.659166666666668</v>
      </c>
      <c r="L63" s="7"/>
    </row>
    <row r="64" spans="1:12" ht="15.75" x14ac:dyDescent="0.25">
      <c r="A64" s="7" t="s">
        <v>340</v>
      </c>
      <c r="B64" s="7"/>
      <c r="C64" s="165" t="s">
        <v>343</v>
      </c>
      <c r="D64" s="165"/>
      <c r="E64" s="165"/>
      <c r="F64" s="165"/>
      <c r="G64" s="164"/>
      <c r="H64" s="7"/>
      <c r="I64" s="7"/>
      <c r="J64" s="60">
        <f>Insumos!$B$12</f>
        <v>14.372399999999997</v>
      </c>
      <c r="K64" s="72">
        <f>J64/60</f>
        <v>0.23953999999999995</v>
      </c>
      <c r="L64" s="7"/>
    </row>
    <row r="65" spans="1:13" ht="20.25" customHeight="1" x14ac:dyDescent="0.25">
      <c r="A65" s="259" t="s">
        <v>43</v>
      </c>
      <c r="B65" s="260"/>
      <c r="C65" s="260"/>
      <c r="D65" s="260"/>
      <c r="E65" s="260"/>
      <c r="F65" s="260"/>
      <c r="G65" s="260"/>
      <c r="H65" s="260"/>
      <c r="I65" s="260"/>
      <c r="J65" s="261"/>
      <c r="K65" s="67">
        <f>SUM(K51:K64)</f>
        <v>19136.944978202664</v>
      </c>
      <c r="L65" s="57" t="s">
        <v>16</v>
      </c>
      <c r="M65" s="4"/>
    </row>
    <row r="67" spans="1:13" ht="19.5" customHeight="1" x14ac:dyDescent="0.3">
      <c r="A67" s="262" t="s">
        <v>132</v>
      </c>
      <c r="B67" s="263"/>
      <c r="C67" s="263"/>
      <c r="D67" s="263"/>
      <c r="E67" s="263"/>
      <c r="F67" s="263"/>
      <c r="G67" s="263"/>
      <c r="H67" s="263"/>
      <c r="I67" s="264"/>
      <c r="K67" s="66">
        <f>K47+K65</f>
        <v>26366.099567390327</v>
      </c>
    </row>
    <row r="69" spans="1:13" ht="15.75" x14ac:dyDescent="0.25">
      <c r="A69" s="254" t="s">
        <v>133</v>
      </c>
      <c r="B69" s="255"/>
      <c r="C69" s="255"/>
      <c r="D69" s="255"/>
      <c r="E69" s="256"/>
      <c r="I69" s="265" t="s">
        <v>55</v>
      </c>
      <c r="J69" s="266"/>
    </row>
    <row r="70" spans="1:13" ht="15.75" x14ac:dyDescent="0.25">
      <c r="A70" s="7" t="s">
        <v>341</v>
      </c>
      <c r="B70" s="7"/>
      <c r="C70" s="193" t="s">
        <v>54</v>
      </c>
      <c r="D70" s="193"/>
      <c r="E70" s="193"/>
      <c r="F70" s="193"/>
      <c r="G70" s="7"/>
      <c r="H70" s="7"/>
      <c r="I70" s="168">
        <f>Insumos!$B$15</f>
        <v>2.6599999999999999E-2</v>
      </c>
      <c r="J70" s="7"/>
      <c r="K70" s="58">
        <f>I70*K67</f>
        <v>701.33824849258269</v>
      </c>
      <c r="L70" s="7"/>
    </row>
    <row r="71" spans="1:13" ht="15.75" x14ac:dyDescent="0.25">
      <c r="A71" s="7" t="s">
        <v>342</v>
      </c>
      <c r="B71" s="7"/>
      <c r="C71" s="193" t="s">
        <v>59</v>
      </c>
      <c r="D71" s="193"/>
      <c r="E71" s="193"/>
      <c r="F71" s="193"/>
      <c r="G71" s="7"/>
      <c r="H71" s="7"/>
      <c r="I71" s="169">
        <f>Insumos!$B$16</f>
        <v>0.04</v>
      </c>
      <c r="J71" s="7"/>
      <c r="K71" s="58">
        <f>I71*(K67+K70)</f>
        <v>1082.6975126353163</v>
      </c>
      <c r="L71" s="7"/>
    </row>
    <row r="72" spans="1:13" ht="18.75" x14ac:dyDescent="0.3">
      <c r="A72" s="7"/>
      <c r="B72" s="7"/>
      <c r="C72" s="7"/>
      <c r="D72" s="7"/>
      <c r="E72" s="7"/>
      <c r="F72" s="7"/>
      <c r="G72" s="7"/>
      <c r="H72" s="7"/>
      <c r="I72" s="7"/>
      <c r="J72" s="61" t="s">
        <v>131</v>
      </c>
      <c r="K72" s="65">
        <f>SUM(K70:K71)</f>
        <v>1784.0357611278991</v>
      </c>
      <c r="L72" s="54" t="s">
        <v>16</v>
      </c>
    </row>
    <row r="74" spans="1:13" ht="15.75" x14ac:dyDescent="0.25">
      <c r="A74" s="254" t="s">
        <v>134</v>
      </c>
      <c r="B74" s="255"/>
      <c r="C74" s="255"/>
      <c r="D74" s="255"/>
      <c r="E74" s="256"/>
      <c r="F74" s="7"/>
      <c r="G74" s="7"/>
      <c r="H74" s="7"/>
      <c r="I74" s="7"/>
      <c r="J74" s="7"/>
      <c r="K74" s="7"/>
      <c r="L74" s="7"/>
    </row>
    <row r="75" spans="1:13" ht="15.75" x14ac:dyDescent="0.25">
      <c r="A75" s="193" t="s">
        <v>42</v>
      </c>
      <c r="B75" s="193"/>
      <c r="C75" s="193"/>
      <c r="D75" s="193"/>
      <c r="E75" s="193"/>
      <c r="F75" s="193"/>
      <c r="G75" s="7"/>
      <c r="H75" s="7"/>
      <c r="I75" s="219" t="s">
        <v>47</v>
      </c>
      <c r="J75" s="220"/>
      <c r="K75" s="51">
        <f>K67+K72</f>
        <v>28150.135328518227</v>
      </c>
      <c r="L75" s="7"/>
    </row>
    <row r="76" spans="1:13" ht="15.75" x14ac:dyDescent="0.25">
      <c r="A76" s="7" t="s">
        <v>53</v>
      </c>
      <c r="C76" s="7" t="s">
        <v>44</v>
      </c>
      <c r="D76" s="7"/>
      <c r="E76" s="7"/>
      <c r="F76" s="7"/>
      <c r="G76" s="7"/>
      <c r="H76" s="7"/>
      <c r="I76" s="257">
        <f>Insumos!$B$18</f>
        <v>0.05</v>
      </c>
      <c r="J76" s="258"/>
      <c r="K76" s="51">
        <f>$K$75/(1-(SUM($I$76:$J$78)))*I76</f>
        <v>1540.7846375762576</v>
      </c>
      <c r="L76" s="7"/>
    </row>
    <row r="77" spans="1:13" ht="15.75" x14ac:dyDescent="0.25">
      <c r="A77" s="7" t="s">
        <v>344</v>
      </c>
      <c r="C77" s="7" t="s">
        <v>45</v>
      </c>
      <c r="D77" s="7"/>
      <c r="E77" s="7"/>
      <c r="F77" s="7"/>
      <c r="G77" s="7"/>
      <c r="H77" s="7"/>
      <c r="I77" s="257">
        <f>Insumos!$B$19</f>
        <v>6.4999999999999997E-3</v>
      </c>
      <c r="J77" s="258"/>
      <c r="K77" s="51">
        <f>$K$75/(1-(SUM($I$76:$J$78)))*I77</f>
        <v>200.30200288491349</v>
      </c>
      <c r="L77" s="7"/>
    </row>
    <row r="78" spans="1:13" ht="15.75" x14ac:dyDescent="0.25">
      <c r="A78" s="7" t="s">
        <v>345</v>
      </c>
      <c r="C78" s="7" t="s">
        <v>46</v>
      </c>
      <c r="D78" s="7"/>
      <c r="E78" s="7"/>
      <c r="F78" s="7"/>
      <c r="G78" s="7"/>
      <c r="H78" s="7"/>
      <c r="I78" s="257">
        <f>Insumos!$B$20</f>
        <v>0.03</v>
      </c>
      <c r="J78" s="258"/>
      <c r="K78" s="51">
        <f>$K$75/(1-(SUM($I$76:$J$78)))*I78</f>
        <v>924.47078254575456</v>
      </c>
      <c r="L78" s="7"/>
    </row>
    <row r="79" spans="1:13" ht="21" customHeight="1" x14ac:dyDescent="0.3">
      <c r="A79" s="251" t="s">
        <v>48</v>
      </c>
      <c r="B79" s="252"/>
      <c r="C79" s="252"/>
      <c r="D79" s="252"/>
      <c r="E79" s="252"/>
      <c r="F79" s="252"/>
      <c r="G79" s="252"/>
      <c r="H79" s="252"/>
      <c r="I79" s="252"/>
      <c r="J79" s="253"/>
      <c r="K79" s="64">
        <f>SUM(K76:K78)</f>
        <v>2665.5574230069255</v>
      </c>
      <c r="L79" s="54" t="s">
        <v>16</v>
      </c>
    </row>
    <row r="81" spans="1:20" x14ac:dyDescent="0.25">
      <c r="C81" s="5"/>
      <c r="D81" s="5"/>
      <c r="E81" s="5"/>
      <c r="F81" s="5"/>
      <c r="K81" s="2"/>
    </row>
    <row r="82" spans="1:20" ht="15.75" x14ac:dyDescent="0.25">
      <c r="A82" s="191" t="s">
        <v>56</v>
      </c>
      <c r="B82" s="191"/>
      <c r="C82" s="191"/>
      <c r="D82" s="191"/>
      <c r="E82" s="191"/>
      <c r="F82" s="191"/>
      <c r="G82" s="191"/>
      <c r="H82" s="191"/>
      <c r="I82" s="191"/>
      <c r="T82" s="43"/>
    </row>
    <row r="83" spans="1:20" ht="15.75" x14ac:dyDescent="0.25">
      <c r="A83" s="6"/>
      <c r="B83" s="6"/>
      <c r="C83" s="6"/>
      <c r="D83" s="6"/>
      <c r="E83" s="6"/>
      <c r="F83" s="6"/>
      <c r="G83" s="6"/>
      <c r="H83" s="6"/>
      <c r="I83" s="6"/>
    </row>
    <row r="84" spans="1:20" ht="15.75" x14ac:dyDescent="0.25">
      <c r="A84" s="191" t="s">
        <v>51</v>
      </c>
      <c r="B84" s="192"/>
      <c r="C84" s="192"/>
      <c r="D84" s="192"/>
      <c r="E84" s="192"/>
      <c r="F84" s="192"/>
      <c r="G84" s="192"/>
      <c r="H84" s="192"/>
    </row>
    <row r="85" spans="1:20" ht="20.25" customHeight="1" x14ac:dyDescent="0.3">
      <c r="A85" s="193" t="s">
        <v>135</v>
      </c>
      <c r="B85" s="193"/>
      <c r="C85" s="193"/>
      <c r="D85" s="193"/>
      <c r="E85" s="193"/>
      <c r="F85" s="193"/>
      <c r="G85" s="193"/>
      <c r="H85" s="193"/>
      <c r="I85" s="193"/>
      <c r="J85" s="193"/>
      <c r="K85" s="62">
        <f>K67+K72+K79</f>
        <v>30815.692751525152</v>
      </c>
    </row>
    <row r="86" spans="1:20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2"/>
    </row>
    <row r="87" spans="1:20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2"/>
      <c r="P87" s="42"/>
    </row>
    <row r="88" spans="1:20" ht="8.25" customHeight="1" x14ac:dyDescent="0.25"/>
    <row r="89" spans="1:20" ht="16.5" customHeight="1" x14ac:dyDescent="0.25">
      <c r="A89" s="194" t="s">
        <v>49</v>
      </c>
      <c r="B89" s="195"/>
      <c r="C89" s="195"/>
      <c r="D89" s="195"/>
      <c r="E89" s="195"/>
      <c r="F89" s="195"/>
      <c r="G89" s="195"/>
      <c r="H89" s="195"/>
      <c r="I89" s="195"/>
      <c r="J89" s="195"/>
      <c r="K89" s="7"/>
      <c r="L89" s="7"/>
    </row>
    <row r="90" spans="1:20" ht="24.75" customHeight="1" x14ac:dyDescent="0.3">
      <c r="A90" s="196" t="s">
        <v>141</v>
      </c>
      <c r="B90" s="196"/>
      <c r="C90" s="196"/>
      <c r="D90" s="196"/>
      <c r="E90" s="196"/>
      <c r="F90" s="196"/>
      <c r="G90" s="196"/>
      <c r="H90" s="196"/>
      <c r="I90" s="196"/>
      <c r="J90" s="196"/>
      <c r="K90" s="71">
        <f>K85/O18</f>
        <v>21.39087376893319</v>
      </c>
      <c r="L90" s="63" t="s">
        <v>50</v>
      </c>
    </row>
    <row r="94" spans="1:20" s="10" customFormat="1" x14ac:dyDescent="0.25"/>
    <row r="95" spans="1:20" s="11" customFormat="1" ht="18.75" x14ac:dyDescent="0.3">
      <c r="B95" s="12" t="s">
        <v>69</v>
      </c>
      <c r="D95" s="188" t="s">
        <v>65</v>
      </c>
      <c r="E95" s="188"/>
      <c r="L95" s="12" t="s">
        <v>69</v>
      </c>
      <c r="M95" s="12"/>
      <c r="N95" s="12" t="s">
        <v>75</v>
      </c>
      <c r="O95" s="12"/>
    </row>
    <row r="96" spans="1:20" s="11" customFormat="1" x14ac:dyDescent="0.25"/>
    <row r="97" spans="2:18" s="11" customFormat="1" x14ac:dyDescent="0.25">
      <c r="B97" s="184" t="s">
        <v>66</v>
      </c>
      <c r="C97" s="184"/>
      <c r="D97" s="13"/>
      <c r="E97" s="13"/>
      <c r="F97" s="189">
        <v>288912</v>
      </c>
      <c r="G97" s="189"/>
      <c r="L97" s="13" t="s">
        <v>66</v>
      </c>
      <c r="M97" s="13"/>
      <c r="N97" s="13"/>
      <c r="O97" s="13"/>
      <c r="P97" s="13"/>
      <c r="Q97" s="30">
        <v>271500</v>
      </c>
    </row>
    <row r="98" spans="2:18" s="11" customFormat="1" x14ac:dyDescent="0.25">
      <c r="B98" s="13" t="s">
        <v>67</v>
      </c>
      <c r="D98" s="13"/>
      <c r="E98" s="13"/>
      <c r="F98" s="185">
        <v>10</v>
      </c>
      <c r="G98" s="185"/>
      <c r="H98" s="11" t="s">
        <v>154</v>
      </c>
      <c r="L98" s="13" t="s">
        <v>67</v>
      </c>
      <c r="M98" s="13"/>
      <c r="N98" s="13"/>
      <c r="O98" s="13"/>
      <c r="P98" s="13"/>
      <c r="Q98" s="13">
        <v>10</v>
      </c>
      <c r="R98" s="11" t="s">
        <v>154</v>
      </c>
    </row>
    <row r="99" spans="2:18" s="11" customFormat="1" x14ac:dyDescent="0.25">
      <c r="B99" s="13" t="s">
        <v>81</v>
      </c>
      <c r="D99" s="13"/>
      <c r="E99" s="13"/>
      <c r="F99" s="14"/>
      <c r="G99" s="14">
        <v>2018</v>
      </c>
      <c r="L99" s="13" t="s">
        <v>81</v>
      </c>
      <c r="N99" s="13"/>
      <c r="O99" s="13"/>
      <c r="P99" s="14"/>
      <c r="Q99" s="14">
        <v>2018</v>
      </c>
    </row>
    <row r="100" spans="2:18" s="11" customFormat="1" x14ac:dyDescent="0.25">
      <c r="B100" s="184" t="s">
        <v>68</v>
      </c>
      <c r="C100" s="184"/>
      <c r="D100" s="184"/>
      <c r="F100" s="185">
        <v>6</v>
      </c>
      <c r="G100" s="185"/>
      <c r="L100" s="13" t="s">
        <v>76</v>
      </c>
      <c r="M100" s="13"/>
      <c r="N100" s="13"/>
      <c r="O100" s="13"/>
      <c r="P100" s="13"/>
      <c r="Q100" s="13">
        <v>6</v>
      </c>
    </row>
    <row r="101" spans="2:18" s="11" customFormat="1" x14ac:dyDescent="0.25">
      <c r="B101" s="184" t="s">
        <v>71</v>
      </c>
      <c r="C101" s="184"/>
      <c r="D101" s="184"/>
      <c r="F101" s="14"/>
      <c r="G101" s="17">
        <v>100000</v>
      </c>
      <c r="L101" s="13" t="s">
        <v>71</v>
      </c>
      <c r="M101" s="13"/>
      <c r="N101" s="13"/>
      <c r="O101" s="13"/>
      <c r="P101" s="13"/>
      <c r="Q101" s="19">
        <v>100000</v>
      </c>
    </row>
    <row r="102" spans="2:18" s="11" customFormat="1" x14ac:dyDescent="0.25">
      <c r="B102" s="184" t="s">
        <v>72</v>
      </c>
      <c r="C102" s="184"/>
      <c r="D102" s="184"/>
      <c r="F102" s="14"/>
      <c r="G102" s="20">
        <v>1533.77</v>
      </c>
      <c r="L102" s="13" t="s">
        <v>72</v>
      </c>
      <c r="M102" s="13"/>
      <c r="N102" s="13"/>
      <c r="O102" s="13"/>
      <c r="P102" s="13"/>
      <c r="Q102" s="69">
        <v>860.69</v>
      </c>
    </row>
    <row r="103" spans="2:18" s="11" customFormat="1" x14ac:dyDescent="0.25">
      <c r="B103" s="184" t="s">
        <v>73</v>
      </c>
      <c r="C103" s="184"/>
      <c r="D103" s="15"/>
      <c r="F103" s="14"/>
      <c r="G103" s="14">
        <v>2.6</v>
      </c>
      <c r="H103" s="13" t="s">
        <v>74</v>
      </c>
      <c r="L103" s="13" t="s">
        <v>73</v>
      </c>
      <c r="M103" s="13"/>
      <c r="N103" s="13"/>
      <c r="O103" s="13"/>
      <c r="P103" s="13"/>
      <c r="Q103" s="13">
        <v>4.7</v>
      </c>
    </row>
    <row r="104" spans="2:18" s="11" customFormat="1" x14ac:dyDescent="0.25">
      <c r="B104" s="184" t="s">
        <v>70</v>
      </c>
      <c r="C104" s="184"/>
      <c r="D104" s="184"/>
      <c r="F104" s="185" t="s">
        <v>125</v>
      </c>
      <c r="G104" s="185"/>
      <c r="L104" s="13" t="s">
        <v>70</v>
      </c>
      <c r="M104" s="13"/>
      <c r="N104" s="13"/>
      <c r="O104" s="13"/>
      <c r="P104" s="13"/>
      <c r="Q104" s="13" t="s">
        <v>124</v>
      </c>
    </row>
    <row r="105" spans="2:18" s="11" customFormat="1" x14ac:dyDescent="0.25"/>
    <row r="106" spans="2:18" s="11" customFormat="1" x14ac:dyDescent="0.25"/>
    <row r="107" spans="2:18" s="11" customFormat="1" ht="18.75" x14ac:dyDescent="0.3">
      <c r="B107" s="12" t="s">
        <v>69</v>
      </c>
      <c r="C107" s="12"/>
      <c r="D107" s="12" t="s">
        <v>77</v>
      </c>
      <c r="E107" s="13"/>
      <c r="F107" s="13"/>
      <c r="G107" s="13"/>
      <c r="H107" s="13"/>
      <c r="L107" s="12" t="s">
        <v>69</v>
      </c>
      <c r="M107" s="16"/>
      <c r="N107" s="16"/>
      <c r="O107" s="12" t="s">
        <v>78</v>
      </c>
    </row>
    <row r="108" spans="2:18" s="11" customFormat="1" x14ac:dyDescent="0.25">
      <c r="B108" s="13"/>
      <c r="C108" s="13"/>
      <c r="D108" s="13"/>
      <c r="E108" s="13"/>
      <c r="F108" s="13"/>
      <c r="G108" s="13"/>
      <c r="H108" s="13"/>
    </row>
    <row r="109" spans="2:18" s="11" customFormat="1" x14ac:dyDescent="0.25">
      <c r="B109" s="184" t="s">
        <v>66</v>
      </c>
      <c r="C109" s="184"/>
      <c r="D109" s="13"/>
      <c r="E109" s="13"/>
      <c r="F109" s="185">
        <v>400</v>
      </c>
      <c r="G109" s="185"/>
      <c r="H109" s="13"/>
      <c r="L109" s="184" t="s">
        <v>66</v>
      </c>
      <c r="M109" s="184"/>
      <c r="N109" s="13"/>
      <c r="O109" s="13"/>
      <c r="P109" s="185" t="s">
        <v>78</v>
      </c>
      <c r="Q109" s="185"/>
      <c r="R109" s="13"/>
    </row>
    <row r="110" spans="2:18" s="11" customFormat="1" x14ac:dyDescent="0.25">
      <c r="B110" s="13" t="s">
        <v>67</v>
      </c>
      <c r="C110" s="13"/>
      <c r="D110" s="13"/>
      <c r="E110" s="13"/>
      <c r="F110" s="185">
        <v>10</v>
      </c>
      <c r="G110" s="185"/>
      <c r="H110" s="13" t="s">
        <v>154</v>
      </c>
      <c r="L110" s="13" t="s">
        <v>67</v>
      </c>
      <c r="M110" s="13"/>
      <c r="N110" s="13"/>
      <c r="O110" s="13"/>
      <c r="P110" s="185">
        <v>8</v>
      </c>
      <c r="Q110" s="185"/>
      <c r="R110" s="13" t="s">
        <v>154</v>
      </c>
    </row>
    <row r="111" spans="2:18" s="11" customFormat="1" x14ac:dyDescent="0.25">
      <c r="B111" s="13" t="s">
        <v>81</v>
      </c>
      <c r="D111" s="13"/>
      <c r="E111" s="13"/>
      <c r="F111" s="14"/>
      <c r="G111" s="14" t="s">
        <v>82</v>
      </c>
      <c r="L111" s="13" t="s">
        <v>81</v>
      </c>
      <c r="N111" s="13"/>
      <c r="O111" s="13"/>
      <c r="P111" s="14"/>
      <c r="Q111" s="14" t="s">
        <v>83</v>
      </c>
      <c r="R111" s="13"/>
    </row>
    <row r="112" spans="2:18" s="11" customFormat="1" x14ac:dyDescent="0.25">
      <c r="B112" s="184" t="s">
        <v>68</v>
      </c>
      <c r="C112" s="184"/>
      <c r="D112" s="184"/>
      <c r="E112" s="13"/>
      <c r="F112" s="185" t="s">
        <v>87</v>
      </c>
      <c r="G112" s="185"/>
      <c r="H112" s="13"/>
      <c r="L112" s="184" t="s">
        <v>68</v>
      </c>
      <c r="M112" s="184"/>
      <c r="N112" s="184"/>
      <c r="O112" s="13"/>
      <c r="P112" s="185" t="s">
        <v>88</v>
      </c>
      <c r="Q112" s="185"/>
      <c r="R112" s="13"/>
    </row>
    <row r="113" spans="2:21" s="11" customFormat="1" x14ac:dyDescent="0.25">
      <c r="B113" s="184" t="s">
        <v>71</v>
      </c>
      <c r="C113" s="184"/>
      <c r="D113" s="184"/>
      <c r="E113" s="13"/>
      <c r="F113" s="14"/>
      <c r="G113" s="14" t="s">
        <v>89</v>
      </c>
      <c r="H113" s="13"/>
      <c r="L113" s="184" t="s">
        <v>71</v>
      </c>
      <c r="M113" s="184"/>
      <c r="N113" s="184"/>
      <c r="O113" s="13"/>
      <c r="P113" s="14"/>
      <c r="Q113" s="14" t="s">
        <v>90</v>
      </c>
      <c r="R113" s="13"/>
    </row>
    <row r="114" spans="2:21" s="11" customFormat="1" x14ac:dyDescent="0.25">
      <c r="B114" s="184" t="s">
        <v>72</v>
      </c>
      <c r="C114" s="184"/>
      <c r="D114" s="184"/>
      <c r="E114" s="13"/>
      <c r="F114" s="14"/>
      <c r="G114" s="14">
        <v>400</v>
      </c>
      <c r="H114" s="13"/>
      <c r="L114" s="184" t="s">
        <v>72</v>
      </c>
      <c r="M114" s="184"/>
      <c r="N114" s="184"/>
      <c r="O114" s="13"/>
      <c r="P114" s="14"/>
      <c r="Q114" s="14">
        <v>4444</v>
      </c>
      <c r="R114" s="13"/>
    </row>
    <row r="115" spans="2:21" s="11" customFormat="1" x14ac:dyDescent="0.25">
      <c r="B115" s="184" t="s">
        <v>73</v>
      </c>
      <c r="C115" s="184"/>
      <c r="D115" s="15"/>
      <c r="E115" s="13"/>
      <c r="F115" s="14"/>
      <c r="G115" s="14">
        <v>2</v>
      </c>
      <c r="H115" s="13" t="s">
        <v>74</v>
      </c>
      <c r="L115" s="184" t="s">
        <v>73</v>
      </c>
      <c r="M115" s="184"/>
      <c r="N115" s="15"/>
      <c r="O115" s="13"/>
      <c r="P115" s="14"/>
      <c r="Q115" s="14">
        <v>4</v>
      </c>
      <c r="R115" s="13" t="s">
        <v>74</v>
      </c>
    </row>
    <row r="116" spans="2:21" s="11" customFormat="1" x14ac:dyDescent="0.25">
      <c r="B116" s="184" t="s">
        <v>70</v>
      </c>
      <c r="C116" s="184"/>
      <c r="D116" s="184"/>
      <c r="E116" s="13"/>
      <c r="F116" s="185" t="s">
        <v>85</v>
      </c>
      <c r="G116" s="185"/>
      <c r="H116" s="13"/>
      <c r="L116" s="184" t="s">
        <v>70</v>
      </c>
      <c r="M116" s="184"/>
      <c r="N116" s="184"/>
      <c r="O116" s="13"/>
      <c r="P116" s="185" t="s">
        <v>86</v>
      </c>
      <c r="Q116" s="185"/>
      <c r="R116" s="13"/>
    </row>
    <row r="117" spans="2:21" s="11" customFormat="1" x14ac:dyDescent="0.25"/>
    <row r="118" spans="2:21" s="11" customFormat="1" x14ac:dyDescent="0.25"/>
    <row r="119" spans="2:21" s="11" customFormat="1" ht="18.75" x14ac:dyDescent="0.3">
      <c r="Q119" s="12" t="s">
        <v>65</v>
      </c>
      <c r="R119" s="12"/>
      <c r="T119" s="13" t="s">
        <v>130</v>
      </c>
      <c r="U119" s="13"/>
    </row>
    <row r="120" spans="2:21" s="11" customFormat="1" ht="18.75" x14ac:dyDescent="0.3">
      <c r="Q120" s="12" t="s">
        <v>75</v>
      </c>
      <c r="T120" s="13" t="s">
        <v>129</v>
      </c>
      <c r="U120" s="13"/>
    </row>
    <row r="121" spans="2:21" s="11" customFormat="1" ht="18.75" x14ac:dyDescent="0.3">
      <c r="Q121" s="12" t="s">
        <v>77</v>
      </c>
    </row>
    <row r="122" spans="2:21" s="11" customFormat="1" ht="18" customHeight="1" x14ac:dyDescent="0.3">
      <c r="B122" s="186" t="s">
        <v>172</v>
      </c>
      <c r="C122" s="186"/>
      <c r="Q122" s="12" t="s">
        <v>78</v>
      </c>
    </row>
    <row r="123" spans="2:21" ht="0.75" hidden="1" customHeight="1" x14ac:dyDescent="0.25">
      <c r="B123" s="186"/>
      <c r="C123" s="186"/>
    </row>
    <row r="124" spans="2:21" hidden="1" x14ac:dyDescent="0.25">
      <c r="B124" s="186"/>
      <c r="C124" s="186"/>
    </row>
    <row r="125" spans="2:21" x14ac:dyDescent="0.25">
      <c r="B125" s="186"/>
      <c r="C125" s="186"/>
    </row>
    <row r="126" spans="2:21" ht="24.75" x14ac:dyDescent="0.25">
      <c r="B126" s="94" t="s">
        <v>173</v>
      </c>
      <c r="C126" s="9" t="s">
        <v>174</v>
      </c>
      <c r="D126" s="9"/>
      <c r="E126" s="9"/>
      <c r="F126" s="9" t="s">
        <v>175</v>
      </c>
      <c r="G126" s="9"/>
      <c r="H126" s="9"/>
      <c r="I126" s="9" t="s">
        <v>176</v>
      </c>
      <c r="J126" s="9"/>
      <c r="K126" s="9"/>
      <c r="L126" s="9" t="s">
        <v>177</v>
      </c>
      <c r="M126" s="9"/>
      <c r="N126" s="9"/>
    </row>
    <row r="127" spans="2:21" x14ac:dyDescent="0.25">
      <c r="B127" s="5">
        <v>40</v>
      </c>
      <c r="C127" s="2">
        <f>$K$42*(B127*21)</f>
        <v>4049.0369329846144</v>
      </c>
      <c r="F127" s="2">
        <f>(C127+$K$65)*0.05</f>
        <v>1159.2990955593639</v>
      </c>
      <c r="I127" s="2">
        <f>(C127+$K$65+F127)*6%</f>
        <v>1460.7168604047984</v>
      </c>
      <c r="L127" s="31">
        <f>(C127+$K$65+F127+I127)*14.25%</f>
        <v>3677.3546960690801</v>
      </c>
      <c r="M127" s="9"/>
      <c r="N127" s="9"/>
    </row>
    <row r="128" spans="2:21" x14ac:dyDescent="0.25">
      <c r="B128" s="5">
        <v>50</v>
      </c>
      <c r="C128" s="2">
        <f t="shared" ref="C128:C139" si="0">$K$42*(B128*21)</f>
        <v>5061.296166230768</v>
      </c>
      <c r="F128" s="2">
        <f t="shared" ref="F128:F139" si="1">(C128+$K$65)*0.05</f>
        <v>1209.9120572216716</v>
      </c>
      <c r="I128" s="2">
        <f t="shared" ref="I128:I139" si="2">(C128+$K$65+F128)*6%</f>
        <v>1524.4891920993061</v>
      </c>
      <c r="L128" s="31">
        <f t="shared" ref="L128:L139" si="3">(C128+$K$65+F128+I128)*14.25%</f>
        <v>3837.9015411100031</v>
      </c>
      <c r="M128" s="9"/>
      <c r="N128" s="9"/>
    </row>
    <row r="129" spans="2:14" x14ac:dyDescent="0.25">
      <c r="B129" s="5">
        <v>60</v>
      </c>
      <c r="C129" s="2">
        <f t="shared" si="0"/>
        <v>6073.5553994769216</v>
      </c>
      <c r="F129" s="2">
        <f t="shared" si="1"/>
        <v>1260.5250188839793</v>
      </c>
      <c r="I129" s="2">
        <f t="shared" si="2"/>
        <v>1588.2615237938137</v>
      </c>
      <c r="L129" s="31">
        <f t="shared" si="3"/>
        <v>3998.4483861509261</v>
      </c>
      <c r="M129" s="9"/>
      <c r="N129" s="9"/>
    </row>
    <row r="130" spans="2:14" x14ac:dyDescent="0.25">
      <c r="B130" s="5">
        <v>70</v>
      </c>
      <c r="C130" s="2">
        <f t="shared" si="0"/>
        <v>7085.8146327230752</v>
      </c>
      <c r="F130" s="2">
        <f t="shared" si="1"/>
        <v>1311.1379805462871</v>
      </c>
      <c r="I130" s="2">
        <f t="shared" si="2"/>
        <v>1652.0338554883215</v>
      </c>
      <c r="L130" s="31">
        <f t="shared" si="3"/>
        <v>4158.9952311918487</v>
      </c>
      <c r="M130" s="9"/>
      <c r="N130" s="9"/>
    </row>
    <row r="131" spans="2:14" x14ac:dyDescent="0.25">
      <c r="B131" s="5">
        <v>80</v>
      </c>
      <c r="C131" s="2">
        <f t="shared" si="0"/>
        <v>8098.0738659692288</v>
      </c>
      <c r="F131" s="2">
        <f t="shared" si="1"/>
        <v>1361.7509422085948</v>
      </c>
      <c r="I131" s="2">
        <f t="shared" si="2"/>
        <v>1715.806187182829</v>
      </c>
      <c r="L131" s="31">
        <f t="shared" si="3"/>
        <v>4319.5420762327722</v>
      </c>
      <c r="M131" s="9"/>
      <c r="N131" s="9"/>
    </row>
    <row r="132" spans="2:14" x14ac:dyDescent="0.25">
      <c r="B132" s="5">
        <v>90</v>
      </c>
      <c r="C132" s="2">
        <f t="shared" si="0"/>
        <v>9110.3330992153824</v>
      </c>
      <c r="F132" s="2">
        <f t="shared" si="1"/>
        <v>1412.3639038709025</v>
      </c>
      <c r="I132" s="2">
        <f t="shared" si="2"/>
        <v>1779.578518877337</v>
      </c>
      <c r="L132" s="31">
        <f t="shared" si="3"/>
        <v>4480.0889212736956</v>
      </c>
      <c r="M132" s="9"/>
      <c r="N132" s="9"/>
    </row>
    <row r="133" spans="2:14" x14ac:dyDescent="0.25">
      <c r="B133" s="5">
        <v>100</v>
      </c>
      <c r="C133" s="2">
        <f t="shared" si="0"/>
        <v>10122.592332461536</v>
      </c>
      <c r="F133" s="2">
        <f t="shared" si="1"/>
        <v>1462.97686553321</v>
      </c>
      <c r="I133" s="2">
        <f t="shared" si="2"/>
        <v>1843.3508505718444</v>
      </c>
      <c r="L133" s="31">
        <f t="shared" si="3"/>
        <v>4640.6357663146182</v>
      </c>
      <c r="M133" s="9"/>
      <c r="N133" s="9"/>
    </row>
    <row r="134" spans="2:14" x14ac:dyDescent="0.25">
      <c r="B134" s="5">
        <v>110</v>
      </c>
      <c r="C134" s="2">
        <f t="shared" si="0"/>
        <v>11134.85156570769</v>
      </c>
      <c r="F134" s="2">
        <f t="shared" si="1"/>
        <v>1513.5898271955177</v>
      </c>
      <c r="I134" s="2">
        <f t="shared" si="2"/>
        <v>1907.1231822663524</v>
      </c>
      <c r="L134" s="31">
        <f t="shared" si="3"/>
        <v>4801.1826113555417</v>
      </c>
      <c r="M134" s="9"/>
      <c r="N134" s="9"/>
    </row>
    <row r="135" spans="2:14" x14ac:dyDescent="0.25">
      <c r="B135" s="5">
        <v>120</v>
      </c>
      <c r="C135" s="2">
        <f t="shared" si="0"/>
        <v>12147.110798953843</v>
      </c>
      <c r="F135" s="2">
        <f t="shared" si="1"/>
        <v>1564.2027888578255</v>
      </c>
      <c r="I135" s="2">
        <f t="shared" si="2"/>
        <v>1970.8955139608597</v>
      </c>
      <c r="L135" s="31">
        <f t="shared" si="3"/>
        <v>4961.7294563964642</v>
      </c>
      <c r="M135" s="9"/>
      <c r="N135" s="9"/>
    </row>
    <row r="136" spans="2:14" x14ac:dyDescent="0.25">
      <c r="B136" s="5">
        <v>130</v>
      </c>
      <c r="C136" s="2">
        <f t="shared" si="0"/>
        <v>13159.370032199997</v>
      </c>
      <c r="F136" s="2">
        <f t="shared" si="1"/>
        <v>1614.8157505201332</v>
      </c>
      <c r="I136" s="2">
        <f t="shared" si="2"/>
        <v>2034.6678456553677</v>
      </c>
      <c r="L136" s="31">
        <f t="shared" si="3"/>
        <v>5122.2763014373886</v>
      </c>
      <c r="M136" s="9"/>
      <c r="N136" s="9"/>
    </row>
    <row r="137" spans="2:14" x14ac:dyDescent="0.25">
      <c r="B137" s="5">
        <v>140</v>
      </c>
      <c r="C137" s="2">
        <f t="shared" si="0"/>
        <v>14171.62926544615</v>
      </c>
      <c r="F137" s="2">
        <f t="shared" si="1"/>
        <v>1665.4287121824409</v>
      </c>
      <c r="I137" s="2">
        <f t="shared" si="2"/>
        <v>2098.4401773498753</v>
      </c>
      <c r="L137" s="31">
        <f t="shared" si="3"/>
        <v>5282.8231464783103</v>
      </c>
      <c r="M137" s="9"/>
      <c r="N137" s="9"/>
    </row>
    <row r="138" spans="2:14" x14ac:dyDescent="0.25">
      <c r="B138" s="5">
        <v>150</v>
      </c>
      <c r="C138" s="2">
        <f t="shared" si="0"/>
        <v>15183.888498692304</v>
      </c>
      <c r="F138" s="2">
        <f t="shared" si="1"/>
        <v>1716.0416738447486</v>
      </c>
      <c r="I138" s="2">
        <f t="shared" si="2"/>
        <v>2162.2125090443828</v>
      </c>
      <c r="L138" s="31">
        <f t="shared" si="3"/>
        <v>5443.3699915192337</v>
      </c>
      <c r="M138" s="9"/>
      <c r="N138" s="9"/>
    </row>
    <row r="139" spans="2:14" x14ac:dyDescent="0.25">
      <c r="B139" s="5">
        <v>160</v>
      </c>
      <c r="C139" s="2">
        <f t="shared" si="0"/>
        <v>16196.147731938458</v>
      </c>
      <c r="F139" s="2">
        <f t="shared" si="1"/>
        <v>1766.6546355070561</v>
      </c>
      <c r="I139" s="2">
        <f t="shared" si="2"/>
        <v>2225.9848407388904</v>
      </c>
      <c r="L139" s="31">
        <f t="shared" si="3"/>
        <v>5603.9168365601563</v>
      </c>
      <c r="M139" s="9"/>
      <c r="N139" s="9"/>
    </row>
    <row r="140" spans="2:14" x14ac:dyDescent="0.25">
      <c r="B140" s="5"/>
    </row>
    <row r="143" spans="2:14" x14ac:dyDescent="0.25">
      <c r="B143" s="187" t="s">
        <v>178</v>
      </c>
      <c r="C143" s="187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</row>
    <row r="144" spans="2:14" x14ac:dyDescent="0.25">
      <c r="B144" s="187"/>
      <c r="C144" s="187"/>
    </row>
    <row r="145" spans="2:14" x14ac:dyDescent="0.25">
      <c r="B145" s="187"/>
      <c r="C145" s="187"/>
    </row>
    <row r="146" spans="2:14" x14ac:dyDescent="0.25">
      <c r="B146" s="187"/>
      <c r="C146" s="187"/>
    </row>
    <row r="147" spans="2:14" ht="24.75" x14ac:dyDescent="0.25">
      <c r="B147" s="94" t="s">
        <v>173</v>
      </c>
      <c r="C147" s="9" t="s">
        <v>174</v>
      </c>
      <c r="D147" s="9"/>
      <c r="E147" s="9"/>
      <c r="F147" s="9" t="s">
        <v>175</v>
      </c>
      <c r="G147" s="9"/>
      <c r="H147" s="9"/>
      <c r="I147" s="9" t="s">
        <v>176</v>
      </c>
      <c r="J147" s="9"/>
      <c r="K147" s="9"/>
      <c r="L147" s="9" t="s">
        <v>177</v>
      </c>
      <c r="M147" s="9"/>
      <c r="N147" s="9"/>
    </row>
    <row r="148" spans="2:14" x14ac:dyDescent="0.25">
      <c r="B148" s="5">
        <v>40</v>
      </c>
      <c r="C148" s="2">
        <f>($K$42*(B148*21))*1.154</f>
        <v>4672.5886206642444</v>
      </c>
      <c r="F148" s="2">
        <f>(C148+$K$65)*0.05</f>
        <v>1190.4766799433455</v>
      </c>
      <c r="I148" s="2">
        <f>(C148+$K$65+F148)*6%</f>
        <v>1500.0006167286153</v>
      </c>
      <c r="L148" s="31">
        <f>(C148+$K$65+F148+I148)*14.25%</f>
        <v>3776.2515526142888</v>
      </c>
      <c r="M148" s="9"/>
      <c r="N148" s="9"/>
    </row>
    <row r="149" spans="2:14" x14ac:dyDescent="0.25">
      <c r="B149" s="5">
        <v>50</v>
      </c>
      <c r="C149" s="2">
        <f t="shared" ref="C149:C160" si="4">($K$42*(B149*21))*1.154</f>
        <v>5840.735775830306</v>
      </c>
      <c r="F149" s="2">
        <f t="shared" ref="F149:F160" si="5">(C149+$K$65)*0.05</f>
        <v>1248.8840377016486</v>
      </c>
      <c r="I149" s="2">
        <f t="shared" ref="I149:I160" si="6">(C149+$K$65+F149)*6%</f>
        <v>1573.593887504077</v>
      </c>
      <c r="L149" s="31">
        <f t="shared" ref="L149:L160" si="7">(C149+$K$65+F149+I149)*14.25%</f>
        <v>3961.5226117915136</v>
      </c>
      <c r="M149" s="9"/>
      <c r="N149" s="9"/>
    </row>
    <row r="150" spans="2:14" x14ac:dyDescent="0.25">
      <c r="B150" s="5">
        <v>60</v>
      </c>
      <c r="C150" s="2">
        <f t="shared" si="4"/>
        <v>7008.8829309963667</v>
      </c>
      <c r="F150" s="2">
        <f t="shared" si="5"/>
        <v>1307.2913954599517</v>
      </c>
      <c r="I150" s="2">
        <f t="shared" si="6"/>
        <v>1647.1871582795388</v>
      </c>
      <c r="L150" s="31">
        <f t="shared" si="7"/>
        <v>4146.7936709687392</v>
      </c>
      <c r="M150" s="9"/>
      <c r="N150" s="9"/>
    </row>
    <row r="151" spans="2:14" x14ac:dyDescent="0.25">
      <c r="B151" s="5">
        <v>70</v>
      </c>
      <c r="C151" s="2">
        <f t="shared" si="4"/>
        <v>8177.0300861624282</v>
      </c>
      <c r="F151" s="2">
        <f t="shared" si="5"/>
        <v>1365.6987532182548</v>
      </c>
      <c r="I151" s="2">
        <f t="shared" si="6"/>
        <v>1720.7804290550007</v>
      </c>
      <c r="L151" s="31">
        <f t="shared" si="7"/>
        <v>4332.0647301459639</v>
      </c>
      <c r="M151" s="9"/>
      <c r="N151" s="9"/>
    </row>
    <row r="152" spans="2:14" x14ac:dyDescent="0.25">
      <c r="B152" s="5">
        <v>80</v>
      </c>
      <c r="C152" s="2">
        <f t="shared" si="4"/>
        <v>9345.1772413284889</v>
      </c>
      <c r="F152" s="2">
        <f t="shared" si="5"/>
        <v>1424.1061109765578</v>
      </c>
      <c r="I152" s="2">
        <f t="shared" si="6"/>
        <v>1794.3736998304626</v>
      </c>
      <c r="L152" s="31">
        <f t="shared" si="7"/>
        <v>4517.3357893231896</v>
      </c>
      <c r="M152" s="9"/>
      <c r="N152" s="9"/>
    </row>
    <row r="153" spans="2:14" x14ac:dyDescent="0.25">
      <c r="B153" s="5">
        <v>90</v>
      </c>
      <c r="C153" s="2">
        <f t="shared" si="4"/>
        <v>10513.32439649455</v>
      </c>
      <c r="F153" s="2">
        <f t="shared" si="5"/>
        <v>1482.5134687348609</v>
      </c>
      <c r="I153" s="2">
        <f t="shared" si="6"/>
        <v>1867.9669706059244</v>
      </c>
      <c r="L153" s="31">
        <f t="shared" si="7"/>
        <v>4702.6068485004143</v>
      </c>
      <c r="M153" s="9"/>
      <c r="N153" s="9"/>
    </row>
    <row r="154" spans="2:14" x14ac:dyDescent="0.25">
      <c r="B154" s="5">
        <v>100</v>
      </c>
      <c r="C154" s="2">
        <f t="shared" si="4"/>
        <v>11681.471551660612</v>
      </c>
      <c r="F154" s="2">
        <f t="shared" si="5"/>
        <v>1540.920826493164</v>
      </c>
      <c r="I154" s="2">
        <f t="shared" si="6"/>
        <v>1941.5602413813863</v>
      </c>
      <c r="L154" s="31">
        <f t="shared" si="7"/>
        <v>4887.8779076776391</v>
      </c>
      <c r="M154" s="9"/>
      <c r="N154" s="9"/>
    </row>
    <row r="155" spans="2:14" x14ac:dyDescent="0.25">
      <c r="B155" s="5">
        <v>110</v>
      </c>
      <c r="C155" s="2">
        <f t="shared" si="4"/>
        <v>12849.618706826674</v>
      </c>
      <c r="F155" s="2">
        <f t="shared" si="5"/>
        <v>1599.3281842514671</v>
      </c>
      <c r="I155" s="2">
        <f t="shared" si="6"/>
        <v>2015.1535121568484</v>
      </c>
      <c r="L155" s="31">
        <f t="shared" si="7"/>
        <v>5073.1489668548647</v>
      </c>
      <c r="M155" s="9"/>
      <c r="N155" s="9"/>
    </row>
    <row r="156" spans="2:14" x14ac:dyDescent="0.25">
      <c r="B156" s="5">
        <v>120</v>
      </c>
      <c r="C156" s="2">
        <f t="shared" si="4"/>
        <v>14017.765861992733</v>
      </c>
      <c r="F156" s="2">
        <f t="shared" si="5"/>
        <v>1657.7355420097699</v>
      </c>
      <c r="I156" s="2">
        <f t="shared" si="6"/>
        <v>2088.7467829323095</v>
      </c>
      <c r="L156" s="31">
        <f t="shared" si="7"/>
        <v>5258.4200260320886</v>
      </c>
      <c r="M156" s="9"/>
      <c r="N156" s="9"/>
    </row>
    <row r="157" spans="2:14" x14ac:dyDescent="0.25">
      <c r="B157" s="5">
        <v>130</v>
      </c>
      <c r="C157" s="2">
        <f t="shared" si="4"/>
        <v>15185.913017158795</v>
      </c>
      <c r="F157" s="2">
        <f t="shared" si="5"/>
        <v>1716.1428997680732</v>
      </c>
      <c r="I157" s="2">
        <f t="shared" si="6"/>
        <v>2162.3400537077719</v>
      </c>
      <c r="L157" s="31">
        <f t="shared" si="7"/>
        <v>5443.6910852093151</v>
      </c>
      <c r="M157" s="9"/>
      <c r="N157" s="9"/>
    </row>
    <row r="158" spans="2:14" x14ac:dyDescent="0.25">
      <c r="B158" s="5">
        <v>140</v>
      </c>
      <c r="C158" s="2">
        <f t="shared" si="4"/>
        <v>16354.060172324856</v>
      </c>
      <c r="F158" s="2">
        <f t="shared" si="5"/>
        <v>1774.5502575263761</v>
      </c>
      <c r="I158" s="2">
        <f t="shared" si="6"/>
        <v>2235.9333244832337</v>
      </c>
      <c r="L158" s="31">
        <f t="shared" si="7"/>
        <v>5628.9621443865399</v>
      </c>
      <c r="M158" s="9"/>
      <c r="N158" s="9"/>
    </row>
    <row r="159" spans="2:14" x14ac:dyDescent="0.25">
      <c r="B159" s="5">
        <v>150</v>
      </c>
      <c r="C159" s="2">
        <f t="shared" si="4"/>
        <v>17522.207327490916</v>
      </c>
      <c r="F159" s="2">
        <f t="shared" si="5"/>
        <v>1832.9576152846794</v>
      </c>
      <c r="I159" s="2">
        <f t="shared" si="6"/>
        <v>2309.5265952586956</v>
      </c>
      <c r="L159" s="31">
        <f t="shared" si="7"/>
        <v>5814.2332035637655</v>
      </c>
      <c r="M159" s="9"/>
      <c r="N159" s="9"/>
    </row>
    <row r="160" spans="2:14" x14ac:dyDescent="0.25">
      <c r="B160" s="5">
        <v>160</v>
      </c>
      <c r="C160" s="2">
        <f t="shared" si="4"/>
        <v>18690.354482656978</v>
      </c>
      <c r="F160" s="2">
        <f t="shared" si="5"/>
        <v>1891.3649730429822</v>
      </c>
      <c r="I160" s="2">
        <f t="shared" si="6"/>
        <v>2383.1198660341574</v>
      </c>
      <c r="L160" s="31">
        <f t="shared" si="7"/>
        <v>5999.5042627409903</v>
      </c>
      <c r="M160" s="9"/>
      <c r="N160" s="9"/>
    </row>
  </sheetData>
  <mergeCells count="121">
    <mergeCell ref="B116:D116"/>
    <mergeCell ref="F116:G116"/>
    <mergeCell ref="L116:N116"/>
    <mergeCell ref="P116:Q116"/>
    <mergeCell ref="B122:C125"/>
    <mergeCell ref="B143:C146"/>
    <mergeCell ref="B113:D113"/>
    <mergeCell ref="L113:N113"/>
    <mergeCell ref="B114:D114"/>
    <mergeCell ref="L114:N114"/>
    <mergeCell ref="B115:C115"/>
    <mergeCell ref="L115:M115"/>
    <mergeCell ref="L109:M109"/>
    <mergeCell ref="P109:Q109"/>
    <mergeCell ref="F110:G110"/>
    <mergeCell ref="P110:Q110"/>
    <mergeCell ref="B112:D112"/>
    <mergeCell ref="F112:G112"/>
    <mergeCell ref="L112:N112"/>
    <mergeCell ref="P112:Q112"/>
    <mergeCell ref="B101:D101"/>
    <mergeCell ref="B102:D102"/>
    <mergeCell ref="B103:C103"/>
    <mergeCell ref="B104:D104"/>
    <mergeCell ref="F104:G104"/>
    <mergeCell ref="B109:C109"/>
    <mergeCell ref="F109:G109"/>
    <mergeCell ref="D95:E95"/>
    <mergeCell ref="B97:C97"/>
    <mergeCell ref="F97:G97"/>
    <mergeCell ref="F98:G98"/>
    <mergeCell ref="B100:D100"/>
    <mergeCell ref="F100:G100"/>
    <mergeCell ref="A79:J79"/>
    <mergeCell ref="A82:I82"/>
    <mergeCell ref="A84:H84"/>
    <mergeCell ref="A85:J85"/>
    <mergeCell ref="A89:J89"/>
    <mergeCell ref="A90:J90"/>
    <mergeCell ref="A74:E74"/>
    <mergeCell ref="A75:F75"/>
    <mergeCell ref="I75:J75"/>
    <mergeCell ref="I76:J76"/>
    <mergeCell ref="I77:J77"/>
    <mergeCell ref="I78:J78"/>
    <mergeCell ref="A65:J65"/>
    <mergeCell ref="A67:I67"/>
    <mergeCell ref="A69:E69"/>
    <mergeCell ref="I69:J69"/>
    <mergeCell ref="C70:F70"/>
    <mergeCell ref="C71:F71"/>
    <mergeCell ref="C54:F54"/>
    <mergeCell ref="C55:F55"/>
    <mergeCell ref="C58:F58"/>
    <mergeCell ref="C60:G60"/>
    <mergeCell ref="C62:E62"/>
    <mergeCell ref="C63:F63"/>
    <mergeCell ref="A49:E49"/>
    <mergeCell ref="H50:I50"/>
    <mergeCell ref="C51:F51"/>
    <mergeCell ref="H51:I51"/>
    <mergeCell ref="C52:F52"/>
    <mergeCell ref="C53:F53"/>
    <mergeCell ref="B41:D41"/>
    <mergeCell ref="F41:H41"/>
    <mergeCell ref="A42:E42"/>
    <mergeCell ref="A43:J43"/>
    <mergeCell ref="A45:J45"/>
    <mergeCell ref="A47:J47"/>
    <mergeCell ref="A36:E36"/>
    <mergeCell ref="B37:D37"/>
    <mergeCell ref="E37:F37"/>
    <mergeCell ref="B38:D38"/>
    <mergeCell ref="B39:D39"/>
    <mergeCell ref="B40:D40"/>
    <mergeCell ref="A28:D28"/>
    <mergeCell ref="E28:F28"/>
    <mergeCell ref="A31:F31"/>
    <mergeCell ref="A32:D32"/>
    <mergeCell ref="E32:F32"/>
    <mergeCell ref="A33:D33"/>
    <mergeCell ref="A25:D25"/>
    <mergeCell ref="E25:F25"/>
    <mergeCell ref="A26:D26"/>
    <mergeCell ref="E26:F26"/>
    <mergeCell ref="A27:D27"/>
    <mergeCell ref="E27:F27"/>
    <mergeCell ref="K18:N18"/>
    <mergeCell ref="A19:F19"/>
    <mergeCell ref="A20:F20"/>
    <mergeCell ref="A23:F23"/>
    <mergeCell ref="A24:D24"/>
    <mergeCell ref="E24:F24"/>
    <mergeCell ref="A16:D16"/>
    <mergeCell ref="E16:F16"/>
    <mergeCell ref="K16:N17"/>
    <mergeCell ref="G23:P24"/>
    <mergeCell ref="O16:O17"/>
    <mergeCell ref="P16:P17"/>
    <mergeCell ref="C2:F6"/>
    <mergeCell ref="H3:P5"/>
    <mergeCell ref="F7:H7"/>
    <mergeCell ref="K7:N7"/>
    <mergeCell ref="B8:C8"/>
    <mergeCell ref="I9:P9"/>
    <mergeCell ref="T17:V17"/>
    <mergeCell ref="A14:D14"/>
    <mergeCell ref="E14:F14"/>
    <mergeCell ref="K14:N15"/>
    <mergeCell ref="O14:O15"/>
    <mergeCell ref="P14:P15"/>
    <mergeCell ref="E15:F15"/>
    <mergeCell ref="A11:F11"/>
    <mergeCell ref="K11:N11"/>
    <mergeCell ref="A12:C12"/>
    <mergeCell ref="E12:F12"/>
    <mergeCell ref="K12:N12"/>
    <mergeCell ref="A13:D13"/>
    <mergeCell ref="E13:F13"/>
    <mergeCell ref="K13:N13"/>
    <mergeCell ref="A9:F9"/>
  </mergeCells>
  <conditionalFormatting sqref="P19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{7AEF9E24-8117-4CFD-849B-74BFAF0DC6F6}</x14:id>
        </ext>
      </extLst>
    </cfRule>
  </conditionalFormatting>
  <dataValidations count="3">
    <dataValidation type="list" allowBlank="1" showInputMessage="1" showErrorMessage="1" sqref="F7:H7 T17:V17">
      <formula1>$Q$119:$Q$122</formula1>
    </dataValidation>
    <dataValidation type="list" allowBlank="1" showInputMessage="1" showErrorMessage="1" sqref="L51">
      <formula1>"LINEAR, MÉTODO COLE"</formula1>
    </dataValidation>
    <dataValidation type="list" allowBlank="1" showInputMessage="1" showErrorMessage="1" sqref="E15:F15">
      <formula1>"0,1,2,3,4,5,6,7,8,9,10,11,12,13,14,15"</formula1>
    </dataValidation>
  </dataValidations>
  <pageMargins left="0.51181102362204722" right="0.51181102362204722" top="0.78740157480314965" bottom="0.78740157480314965" header="0.31496062992125984" footer="0.31496062992125984"/>
  <pageSetup paperSize="9" scale="50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AEF9E24-8117-4CFD-849B-74BFAF0DC6F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P19</xm:sqref>
        </x14:conditionalFormatting>
      </x14:conditionalFormattings>
    </ext>
  </extLst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59">
    <tabColor rgb="FF0070C0"/>
  </sheetPr>
  <dimension ref="A2:V160"/>
  <sheetViews>
    <sheetView tabSelected="1" view="pageBreakPreview" topLeftCell="A55" zoomScale="85" zoomScaleNormal="100" zoomScaleSheetLayoutView="85" workbookViewId="0">
      <selection activeCell="A57" sqref="A57"/>
    </sheetView>
  </sheetViews>
  <sheetFormatPr defaultColWidth="8.85546875" defaultRowHeight="15" x14ac:dyDescent="0.25"/>
  <cols>
    <col min="2" max="2" width="14.140625" customWidth="1"/>
    <col min="3" max="3" width="15.28515625" customWidth="1"/>
    <col min="5" max="5" width="12.42578125" customWidth="1"/>
    <col min="6" max="6" width="13.5703125" customWidth="1"/>
    <col min="7" max="7" width="12.140625" customWidth="1"/>
    <col min="9" max="9" width="10.7109375" customWidth="1"/>
    <col min="10" max="10" width="12.140625" bestFit="1" customWidth="1"/>
    <col min="11" max="11" width="16.42578125" bestFit="1" customWidth="1"/>
    <col min="12" max="12" width="14.42578125" customWidth="1"/>
    <col min="14" max="14" width="6.42578125" customWidth="1"/>
    <col min="15" max="15" width="9" customWidth="1"/>
    <col min="16" max="16" width="10.42578125" customWidth="1"/>
    <col min="17" max="17" width="15.140625" customWidth="1"/>
    <col min="18" max="18" width="14.7109375" bestFit="1" customWidth="1"/>
    <col min="19" max="19" width="19.42578125" bestFit="1" customWidth="1"/>
  </cols>
  <sheetData>
    <row r="2" spans="1:19" x14ac:dyDescent="0.25">
      <c r="C2" s="239" t="s">
        <v>151</v>
      </c>
      <c r="D2" s="240"/>
      <c r="E2" s="240"/>
      <c r="F2" s="240"/>
    </row>
    <row r="3" spans="1:19" x14ac:dyDescent="0.25">
      <c r="C3" s="240"/>
      <c r="D3" s="240"/>
      <c r="E3" s="240"/>
      <c r="F3" s="240"/>
      <c r="H3" s="241" t="s">
        <v>64</v>
      </c>
      <c r="I3" s="239"/>
      <c r="J3" s="239"/>
      <c r="K3" s="239"/>
      <c r="L3" s="239"/>
      <c r="M3" s="239"/>
      <c r="N3" s="239"/>
      <c r="O3" s="239"/>
      <c r="P3" s="239"/>
    </row>
    <row r="4" spans="1:19" x14ac:dyDescent="0.25">
      <c r="C4" s="240"/>
      <c r="D4" s="240"/>
      <c r="E4" s="240"/>
      <c r="F4" s="240"/>
      <c r="H4" s="239"/>
      <c r="I4" s="239"/>
      <c r="J4" s="239"/>
      <c r="K4" s="239"/>
      <c r="L4" s="239"/>
      <c r="M4" s="239"/>
      <c r="N4" s="239"/>
      <c r="O4" s="239"/>
      <c r="P4" s="239"/>
    </row>
    <row r="5" spans="1:19" x14ac:dyDescent="0.25">
      <c r="C5" s="240"/>
      <c r="D5" s="240"/>
      <c r="E5" s="240"/>
      <c r="F5" s="240"/>
      <c r="H5" s="239"/>
      <c r="I5" s="239"/>
      <c r="J5" s="239"/>
      <c r="K5" s="239"/>
      <c r="L5" s="239"/>
      <c r="M5" s="239"/>
      <c r="N5" s="239"/>
      <c r="O5" s="239"/>
      <c r="P5" s="239"/>
    </row>
    <row r="6" spans="1:19" x14ac:dyDescent="0.25">
      <c r="C6" s="240"/>
      <c r="D6" s="240"/>
      <c r="E6" s="240"/>
      <c r="F6" s="240"/>
    </row>
    <row r="7" spans="1:19" ht="21" x14ac:dyDescent="0.35">
      <c r="E7" s="18" t="s">
        <v>80</v>
      </c>
      <c r="F7" s="235" t="s">
        <v>65</v>
      </c>
      <c r="G7" s="235"/>
      <c r="H7" s="235"/>
      <c r="K7" s="242" t="s">
        <v>286</v>
      </c>
      <c r="L7" s="243"/>
      <c r="M7" s="243"/>
      <c r="N7" s="243"/>
    </row>
    <row r="8" spans="1:19" ht="15.75" x14ac:dyDescent="0.25">
      <c r="B8" s="194"/>
      <c r="C8" s="194"/>
      <c r="D8" s="8"/>
      <c r="E8" s="8"/>
      <c r="F8" s="8"/>
      <c r="J8" s="9"/>
    </row>
    <row r="9" spans="1:19" ht="21" x14ac:dyDescent="0.35">
      <c r="A9" s="235" t="s">
        <v>352</v>
      </c>
      <c r="B9" s="235"/>
      <c r="C9" s="235"/>
      <c r="D9" s="235"/>
      <c r="E9" s="235"/>
      <c r="F9" s="235"/>
      <c r="I9" s="244" t="s">
        <v>157</v>
      </c>
      <c r="J9" s="244"/>
      <c r="K9" s="244"/>
      <c r="L9" s="244"/>
      <c r="M9" s="244"/>
      <c r="N9" s="244"/>
      <c r="O9" s="244"/>
      <c r="P9" s="244"/>
      <c r="R9" s="9" t="s">
        <v>155</v>
      </c>
      <c r="S9" s="9" t="s">
        <v>156</v>
      </c>
    </row>
    <row r="10" spans="1:19" x14ac:dyDescent="0.25">
      <c r="R10" s="2">
        <f>K43</f>
        <v>1214.7110798953843</v>
      </c>
      <c r="S10" s="43">
        <f>K45</f>
        <v>1165.5152811596213</v>
      </c>
    </row>
    <row r="11" spans="1:19" ht="17.25" x14ac:dyDescent="0.3">
      <c r="A11" s="236" t="s">
        <v>150</v>
      </c>
      <c r="B11" s="237"/>
      <c r="C11" s="237"/>
      <c r="D11" s="237"/>
      <c r="E11" s="237"/>
      <c r="F11" s="238"/>
      <c r="G11" s="40" t="s">
        <v>0</v>
      </c>
      <c r="K11" s="206" t="s">
        <v>15</v>
      </c>
      <c r="L11" s="206"/>
      <c r="M11" s="206"/>
      <c r="N11" s="206"/>
      <c r="O11" s="46">
        <f>O12+O13</f>
        <v>22</v>
      </c>
      <c r="P11" s="47" t="s">
        <v>14</v>
      </c>
      <c r="R11" s="130">
        <f>K65/O18*O14</f>
        <v>10438.33362447418</v>
      </c>
      <c r="S11" s="130">
        <f>K65/O18*O16</f>
        <v>8698.6113537284837</v>
      </c>
    </row>
    <row r="12" spans="1:19" ht="15.75" x14ac:dyDescent="0.25">
      <c r="A12" s="214" t="s">
        <v>107</v>
      </c>
      <c r="B12" s="215"/>
      <c r="C12" s="215"/>
      <c r="D12" s="48"/>
      <c r="E12" s="218">
        <f>Insumos!$B$4</f>
        <v>531068.38</v>
      </c>
      <c r="F12" s="218"/>
      <c r="G12" s="1"/>
      <c r="K12" s="206" t="s">
        <v>136</v>
      </c>
      <c r="L12" s="206"/>
      <c r="M12" s="206"/>
      <c r="N12" s="206"/>
      <c r="O12" s="150">
        <v>12</v>
      </c>
      <c r="P12" s="47" t="s">
        <v>14</v>
      </c>
      <c r="R12" s="2">
        <f>K72/O18*O14</f>
        <v>794.14793536338061</v>
      </c>
      <c r="S12" s="2">
        <f>K72/O18*O16</f>
        <v>661.78994613615043</v>
      </c>
    </row>
    <row r="13" spans="1:19" ht="15.75" x14ac:dyDescent="0.25">
      <c r="A13" s="214" t="s">
        <v>285</v>
      </c>
      <c r="B13" s="215"/>
      <c r="C13" s="215"/>
      <c r="D13" s="216"/>
      <c r="E13" s="198">
        <f>'DEPRECIAÇÃO LINEAR'!D15</f>
        <v>10</v>
      </c>
      <c r="F13" s="198"/>
      <c r="K13" s="206" t="s">
        <v>137</v>
      </c>
      <c r="L13" s="206"/>
      <c r="M13" s="206"/>
      <c r="N13" s="206"/>
      <c r="O13" s="150">
        <v>10</v>
      </c>
      <c r="P13" s="47" t="s">
        <v>14</v>
      </c>
      <c r="R13" s="2">
        <f>K79/O18*O14</f>
        <v>1186.5496029828321</v>
      </c>
      <c r="S13" s="2">
        <f>K79/O18*O16</f>
        <v>988.79133581902681</v>
      </c>
    </row>
    <row r="14" spans="1:19" ht="15" customHeight="1" x14ac:dyDescent="0.25">
      <c r="A14" s="214" t="s">
        <v>23</v>
      </c>
      <c r="B14" s="215"/>
      <c r="C14" s="215"/>
      <c r="D14" s="216"/>
      <c r="E14" s="219">
        <v>2026</v>
      </c>
      <c r="F14" s="220"/>
      <c r="K14" s="223" t="s">
        <v>138</v>
      </c>
      <c r="L14" s="223"/>
      <c r="M14" s="223"/>
      <c r="N14" s="223"/>
      <c r="O14" s="232">
        <f>O12*21</f>
        <v>252</v>
      </c>
      <c r="P14" s="234" t="s">
        <v>14</v>
      </c>
      <c r="R14" s="2">
        <f>SUM(R10:R13)</f>
        <v>13633.742242715776</v>
      </c>
      <c r="S14" s="2">
        <f>SUM(S10:S13)</f>
        <v>11514.707916843283</v>
      </c>
    </row>
    <row r="15" spans="1:19" ht="15.75" customHeight="1" x14ac:dyDescent="0.25">
      <c r="A15" s="49" t="s">
        <v>79</v>
      </c>
      <c r="B15" s="48"/>
      <c r="C15" s="48"/>
      <c r="D15" s="48"/>
      <c r="E15" s="198">
        <v>0</v>
      </c>
      <c r="F15" s="198"/>
      <c r="G15" s="41" t="s">
        <v>128</v>
      </c>
      <c r="I15" s="28"/>
      <c r="J15" s="28"/>
      <c r="K15" s="223"/>
      <c r="L15" s="223"/>
      <c r="M15" s="223"/>
      <c r="N15" s="223"/>
      <c r="O15" s="233"/>
      <c r="P15" s="234"/>
      <c r="R15" s="31">
        <f>IFERROR(R14/O14,0)</f>
        <v>54.102151756808638</v>
      </c>
      <c r="S15" s="31">
        <f>IFERROR(S14/O16,0)</f>
        <v>54.831942461158491</v>
      </c>
    </row>
    <row r="16" spans="1:19" ht="15" customHeight="1" x14ac:dyDescent="0.25">
      <c r="A16" s="214" t="s">
        <v>84</v>
      </c>
      <c r="B16" s="215"/>
      <c r="C16" s="215"/>
      <c r="D16" s="215"/>
      <c r="E16" s="198" t="str">
        <f>IF($F$7=$D$95,F104,IF($F$7=$D$107,F116,IF($F$7=$N$95,Q104,IF($F$7=$O$107,P116,""))))</f>
        <v>ATÉ 59 ALUNOS</v>
      </c>
      <c r="F16" s="198"/>
      <c r="I16" s="28"/>
      <c r="J16" s="28"/>
      <c r="K16" s="223" t="s">
        <v>139</v>
      </c>
      <c r="L16" s="223"/>
      <c r="M16" s="223"/>
      <c r="N16" s="223"/>
      <c r="O16" s="232">
        <f>O13*21</f>
        <v>210</v>
      </c>
      <c r="P16" s="234" t="s">
        <v>14</v>
      </c>
    </row>
    <row r="17" spans="1:22" ht="15" customHeight="1" x14ac:dyDescent="0.35">
      <c r="I17" s="28"/>
      <c r="J17" s="28"/>
      <c r="K17" s="223"/>
      <c r="L17" s="223"/>
      <c r="M17" s="223"/>
      <c r="N17" s="223"/>
      <c r="O17" s="233"/>
      <c r="P17" s="234"/>
      <c r="R17" s="2">
        <f>R14+S14</f>
        <v>25148.450159559059</v>
      </c>
      <c r="T17" s="235"/>
      <c r="U17" s="235"/>
      <c r="V17" s="235"/>
    </row>
    <row r="18" spans="1:22" ht="15" customHeight="1" x14ac:dyDescent="0.25">
      <c r="I18" s="28"/>
      <c r="J18" s="28"/>
      <c r="K18" s="223" t="s">
        <v>140</v>
      </c>
      <c r="L18" s="223"/>
      <c r="M18" s="223"/>
      <c r="N18" s="223"/>
      <c r="O18" s="46">
        <f>O16+O14</f>
        <v>462</v>
      </c>
      <c r="P18" s="47" t="s">
        <v>14</v>
      </c>
      <c r="R18" s="2">
        <f>R17/O18</f>
        <v>54.433874804240389</v>
      </c>
    </row>
    <row r="19" spans="1:22" ht="15.75" customHeight="1" x14ac:dyDescent="0.3">
      <c r="A19" s="224" t="s">
        <v>1</v>
      </c>
      <c r="B19" s="225"/>
      <c r="C19" s="225"/>
      <c r="D19" s="225"/>
      <c r="E19" s="225"/>
      <c r="F19" s="225"/>
      <c r="I19" s="29"/>
      <c r="J19" s="29"/>
      <c r="K19" s="29"/>
      <c r="L19" s="29"/>
      <c r="M19" s="29"/>
    </row>
    <row r="20" spans="1:22" ht="15" customHeight="1" x14ac:dyDescent="0.25">
      <c r="A20" s="206" t="s">
        <v>106</v>
      </c>
      <c r="B20" s="206"/>
      <c r="C20" s="206"/>
      <c r="D20" s="206"/>
      <c r="E20" s="206"/>
      <c r="F20" s="206"/>
      <c r="I20" s="28"/>
      <c r="J20" s="28"/>
      <c r="K20" s="28"/>
      <c r="L20" s="28"/>
      <c r="M20" s="28"/>
      <c r="O20" s="93">
        <f>K90</f>
        <v>54.433874804240396</v>
      </c>
      <c r="R20" s="93">
        <f>K90</f>
        <v>54.433874804240396</v>
      </c>
    </row>
    <row r="21" spans="1:22" ht="15.75" thickBot="1" x14ac:dyDescent="0.3">
      <c r="O21" s="2"/>
    </row>
    <row r="22" spans="1:22" x14ac:dyDescent="0.25">
      <c r="G22" s="285" t="s">
        <v>312</v>
      </c>
      <c r="H22" s="286"/>
      <c r="I22" s="286"/>
      <c r="J22" s="286"/>
      <c r="K22" s="286"/>
      <c r="L22" s="286"/>
      <c r="M22" s="286"/>
      <c r="N22" s="286"/>
      <c r="O22" s="286"/>
      <c r="P22" s="287"/>
    </row>
    <row r="23" spans="1:22" ht="18" thickBot="1" x14ac:dyDescent="0.35">
      <c r="A23" s="224" t="s">
        <v>2</v>
      </c>
      <c r="B23" s="225"/>
      <c r="C23" s="225"/>
      <c r="D23" s="225"/>
      <c r="E23" s="225"/>
      <c r="F23" s="225"/>
      <c r="G23" s="288"/>
      <c r="H23" s="289"/>
      <c r="I23" s="289"/>
      <c r="J23" s="289"/>
      <c r="K23" s="289"/>
      <c r="L23" s="289"/>
      <c r="M23" s="289"/>
      <c r="N23" s="289"/>
      <c r="O23" s="289"/>
      <c r="P23" s="290"/>
    </row>
    <row r="24" spans="1:22" ht="15.75" x14ac:dyDescent="0.25">
      <c r="A24" s="214" t="s">
        <v>11</v>
      </c>
      <c r="B24" s="215"/>
      <c r="C24" s="215"/>
      <c r="D24" s="215"/>
      <c r="E24" s="198">
        <f>IF($F$7=$D$95,F100,IF($F$7=$D$107,F112,IF($F$7=$N$95,Q100,IF($F$7=$O$107,P112,""))))</f>
        <v>6</v>
      </c>
      <c r="F24" s="198"/>
    </row>
    <row r="25" spans="1:22" ht="15.75" x14ac:dyDescent="0.25">
      <c r="A25" s="214" t="s">
        <v>9</v>
      </c>
      <c r="B25" s="215"/>
      <c r="C25" s="215"/>
      <c r="D25" s="216"/>
      <c r="E25" s="218">
        <f>Insumos!$B$5</f>
        <v>2453.2399999999998</v>
      </c>
      <c r="F25" s="218"/>
    </row>
    <row r="26" spans="1:22" ht="15.75" x14ac:dyDescent="0.25">
      <c r="A26" s="214" t="s">
        <v>147</v>
      </c>
      <c r="B26" s="215"/>
      <c r="C26" s="215"/>
      <c r="D26" s="216"/>
      <c r="E26" s="219">
        <v>2</v>
      </c>
      <c r="F26" s="220"/>
    </row>
    <row r="27" spans="1:22" ht="15.75" x14ac:dyDescent="0.25">
      <c r="A27" s="214" t="s">
        <v>148</v>
      </c>
      <c r="B27" s="215"/>
      <c r="C27" s="215"/>
      <c r="D27" s="216"/>
      <c r="E27" s="221">
        <f>Insumos!$B$6</f>
        <v>975.83</v>
      </c>
      <c r="F27" s="222"/>
    </row>
    <row r="28" spans="1:22" ht="15.75" x14ac:dyDescent="0.25">
      <c r="A28" s="214" t="s">
        <v>149</v>
      </c>
      <c r="B28" s="215"/>
      <c r="C28" s="215"/>
      <c r="D28" s="216"/>
      <c r="E28" s="217">
        <v>100000</v>
      </c>
      <c r="F28" s="217"/>
    </row>
    <row r="31" spans="1:22" ht="15.75" x14ac:dyDescent="0.25">
      <c r="A31" s="191" t="s">
        <v>3</v>
      </c>
      <c r="B31" s="192"/>
      <c r="C31" s="192"/>
      <c r="D31" s="192"/>
      <c r="E31" s="192"/>
      <c r="F31" s="192"/>
    </row>
    <row r="32" spans="1:22" ht="15.75" x14ac:dyDescent="0.25">
      <c r="A32" s="214" t="s">
        <v>19</v>
      </c>
      <c r="B32" s="215"/>
      <c r="C32" s="215"/>
      <c r="D32" s="216"/>
      <c r="E32" s="218">
        <f>Insumos!$B$7</f>
        <v>7.6</v>
      </c>
      <c r="F32" s="218"/>
    </row>
    <row r="33" spans="1:14" ht="15.75" x14ac:dyDescent="0.25">
      <c r="A33" s="214" t="s">
        <v>17</v>
      </c>
      <c r="B33" s="215"/>
      <c r="C33" s="215"/>
      <c r="D33" s="216"/>
      <c r="E33" s="46">
        <f>IF($F$7=$D$95,G103,IF($F$7=$D$107,G115,IF($F$7=$N$95,Q103,IF($F$7=$O$107,Q115,""))))</f>
        <v>2.6</v>
      </c>
      <c r="F33" s="50" t="s">
        <v>18</v>
      </c>
    </row>
    <row r="36" spans="1:14" ht="17.25" x14ac:dyDescent="0.3">
      <c r="A36" s="208" t="s">
        <v>20</v>
      </c>
      <c r="B36" s="209"/>
      <c r="C36" s="209"/>
      <c r="D36" s="209"/>
      <c r="E36" s="209"/>
    </row>
    <row r="37" spans="1:14" x14ac:dyDescent="0.25">
      <c r="B37" s="210"/>
      <c r="C37" s="210"/>
      <c r="D37" s="211"/>
      <c r="E37" s="212" t="s">
        <v>4</v>
      </c>
      <c r="F37" s="213"/>
    </row>
    <row r="38" spans="1:14" ht="15.75" x14ac:dyDescent="0.25">
      <c r="A38" s="46" t="s">
        <v>346</v>
      </c>
      <c r="B38" s="214" t="s">
        <v>52</v>
      </c>
      <c r="C38" s="215"/>
      <c r="D38" s="216"/>
      <c r="E38" s="46">
        <f>1/E33</f>
        <v>0.38461538461538458</v>
      </c>
      <c r="F38" s="7" t="s">
        <v>5</v>
      </c>
      <c r="G38" s="7"/>
      <c r="H38" s="7"/>
      <c r="I38" s="7"/>
      <c r="J38" s="7"/>
      <c r="K38" s="58">
        <f>E32*E38</f>
        <v>2.9230769230769225</v>
      </c>
      <c r="L38" s="51" t="s">
        <v>13</v>
      </c>
      <c r="N38" s="2"/>
    </row>
    <row r="39" spans="1:14" ht="15.75" x14ac:dyDescent="0.25">
      <c r="A39" s="46" t="s">
        <v>6</v>
      </c>
      <c r="B39" s="206" t="s">
        <v>152</v>
      </c>
      <c r="C39" s="206"/>
      <c r="D39" s="206"/>
      <c r="E39" s="46">
        <v>0.04</v>
      </c>
      <c r="F39" s="7" t="s">
        <v>5</v>
      </c>
      <c r="G39" s="7"/>
      <c r="H39" s="7"/>
      <c r="I39" s="7"/>
      <c r="J39" s="7"/>
      <c r="K39" s="58">
        <f>E39*E32</f>
        <v>0.30399999999999999</v>
      </c>
      <c r="L39" s="51" t="s">
        <v>13</v>
      </c>
    </row>
    <row r="40" spans="1:14" ht="15.75" x14ac:dyDescent="0.25">
      <c r="A40" s="46" t="s">
        <v>7</v>
      </c>
      <c r="B40" s="206" t="s">
        <v>8</v>
      </c>
      <c r="C40" s="206"/>
      <c r="D40" s="206"/>
      <c r="E40" s="46"/>
      <c r="F40" s="7"/>
      <c r="G40" s="7"/>
      <c r="H40" s="7"/>
      <c r="I40" s="7"/>
      <c r="J40" s="7"/>
      <c r="K40" s="58">
        <f>((E25*E24)+(E26*E24*E27))/E28</f>
        <v>0.26429400000000003</v>
      </c>
      <c r="L40" s="51" t="s">
        <v>13</v>
      </c>
    </row>
    <row r="41" spans="1:14" ht="15.75" x14ac:dyDescent="0.25">
      <c r="A41" s="46" t="s">
        <v>12</v>
      </c>
      <c r="B41" s="206" t="s">
        <v>153</v>
      </c>
      <c r="C41" s="206"/>
      <c r="D41" s="206"/>
      <c r="E41" s="70">
        <v>3.0000000000000001E-6</v>
      </c>
      <c r="F41" s="193" t="s">
        <v>10</v>
      </c>
      <c r="G41" s="193"/>
      <c r="H41" s="193"/>
      <c r="I41" s="7"/>
      <c r="J41" s="7"/>
      <c r="K41" s="58">
        <f>(E41*E12)-(K40)</f>
        <v>1.32891114</v>
      </c>
      <c r="L41" s="51" t="s">
        <v>13</v>
      </c>
    </row>
    <row r="42" spans="1:14" ht="15.75" x14ac:dyDescent="0.25">
      <c r="A42" s="207"/>
      <c r="B42" s="207"/>
      <c r="C42" s="207"/>
      <c r="D42" s="207"/>
      <c r="E42" s="207"/>
      <c r="F42" s="7"/>
      <c r="G42" s="7"/>
      <c r="H42" s="7"/>
      <c r="I42" s="7"/>
      <c r="J42" s="7"/>
      <c r="K42" s="58">
        <f>SUM(K38:K41)</f>
        <v>4.8202820630769221</v>
      </c>
      <c r="L42" s="51" t="s">
        <v>13</v>
      </c>
    </row>
    <row r="43" spans="1:14" ht="21" customHeight="1" x14ac:dyDescent="0.25">
      <c r="A43" s="200" t="s">
        <v>144</v>
      </c>
      <c r="B43" s="200"/>
      <c r="C43" s="200"/>
      <c r="D43" s="200"/>
      <c r="E43" s="200"/>
      <c r="F43" s="200"/>
      <c r="G43" s="200"/>
      <c r="H43" s="200"/>
      <c r="I43" s="200"/>
      <c r="J43" s="200"/>
      <c r="K43" s="68">
        <f>K42*O14</f>
        <v>1214.7110798953843</v>
      </c>
      <c r="L43" s="52" t="s">
        <v>16</v>
      </c>
    </row>
    <row r="45" spans="1:14" ht="18.75" x14ac:dyDescent="0.3">
      <c r="A45" s="190" t="s">
        <v>145</v>
      </c>
      <c r="B45" s="190"/>
      <c r="C45" s="190"/>
      <c r="D45" s="190"/>
      <c r="E45" s="190"/>
      <c r="F45" s="190"/>
      <c r="G45" s="190"/>
      <c r="H45" s="190"/>
      <c r="I45" s="190"/>
      <c r="J45" s="190"/>
      <c r="K45" s="65">
        <f>K42*O16*1.1514</f>
        <v>1165.5152811596213</v>
      </c>
      <c r="L45" s="53" t="s">
        <v>16</v>
      </c>
    </row>
    <row r="46" spans="1:14" ht="15.75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</row>
    <row r="47" spans="1:14" ht="18.75" x14ac:dyDescent="0.3">
      <c r="A47" s="190" t="s">
        <v>146</v>
      </c>
      <c r="B47" s="190"/>
      <c r="C47" s="190"/>
      <c r="D47" s="190"/>
      <c r="E47" s="190"/>
      <c r="F47" s="190"/>
      <c r="G47" s="190"/>
      <c r="H47" s="190"/>
      <c r="I47" s="190"/>
      <c r="J47" s="190"/>
      <c r="K47" s="65">
        <f>K43+K45</f>
        <v>2380.2263610550053</v>
      </c>
      <c r="L47" s="54" t="s">
        <v>16</v>
      </c>
    </row>
    <row r="49" spans="1:12" ht="15.75" x14ac:dyDescent="0.25">
      <c r="A49" s="197" t="s">
        <v>21</v>
      </c>
      <c r="B49" s="204"/>
      <c r="C49" s="204"/>
      <c r="D49" s="204"/>
      <c r="E49" s="204"/>
      <c r="F49" s="7"/>
      <c r="G49" s="7"/>
      <c r="H49" s="7"/>
      <c r="I49" s="7"/>
      <c r="J49" s="7"/>
      <c r="K49" s="7"/>
      <c r="L49" s="7"/>
    </row>
    <row r="50" spans="1:12" ht="15.75" x14ac:dyDescent="0.25">
      <c r="A50" s="3"/>
      <c r="B50" s="45"/>
      <c r="C50" s="45"/>
      <c r="D50" s="45"/>
      <c r="E50" s="45"/>
      <c r="F50" s="7"/>
      <c r="G50" s="7"/>
      <c r="H50" s="205" t="s">
        <v>25</v>
      </c>
      <c r="I50" s="205"/>
      <c r="J50" s="7"/>
      <c r="K50" s="7"/>
      <c r="L50" s="7"/>
    </row>
    <row r="51" spans="1:12" ht="15.75" x14ac:dyDescent="0.25">
      <c r="A51" s="7" t="s">
        <v>22</v>
      </c>
      <c r="B51" s="7"/>
      <c r="C51" s="193" t="s">
        <v>24</v>
      </c>
      <c r="D51" s="193"/>
      <c r="E51" s="193"/>
      <c r="F51" s="193"/>
      <c r="G51" s="7"/>
      <c r="H51" s="195"/>
      <c r="I51" s="195"/>
      <c r="J51" s="58"/>
      <c r="K51" s="59">
        <f>IF(L51="LINEAR",'DEPRECIAÇÃO LINEAR'!H23,(VLOOKUP(E15,'DEPRECIAÇÃO LINEAR'!W12:AM25,17,0)))</f>
        <v>3983.0128500000005</v>
      </c>
      <c r="L51" s="55" t="s">
        <v>130</v>
      </c>
    </row>
    <row r="52" spans="1:12" ht="15.75" x14ac:dyDescent="0.25">
      <c r="A52" s="7" t="s">
        <v>26</v>
      </c>
      <c r="B52" s="7"/>
      <c r="C52" s="193" t="s">
        <v>27</v>
      </c>
      <c r="D52" s="193"/>
      <c r="E52" s="193"/>
      <c r="F52" s="193"/>
      <c r="G52" s="7"/>
      <c r="H52" s="7"/>
      <c r="I52" s="7"/>
      <c r="J52" s="58"/>
      <c r="K52" s="58"/>
      <c r="L52" s="7"/>
    </row>
    <row r="53" spans="1:12" ht="15.75" x14ac:dyDescent="0.25">
      <c r="A53" s="7"/>
      <c r="B53" s="7" t="s">
        <v>31</v>
      </c>
      <c r="C53" s="193" t="s">
        <v>28</v>
      </c>
      <c r="D53" s="193"/>
      <c r="E53" s="193"/>
      <c r="F53" s="193"/>
      <c r="G53" s="7"/>
      <c r="H53" s="7"/>
      <c r="I53" s="7"/>
      <c r="J53" s="58"/>
      <c r="K53" s="58">
        <f>'Motorista de Veiculo Pesado'!E90</f>
        <v>8468.4608078400015</v>
      </c>
      <c r="L53" s="7"/>
    </row>
    <row r="54" spans="1:12" ht="15.75" x14ac:dyDescent="0.25">
      <c r="A54" s="7"/>
      <c r="B54" s="7" t="s">
        <v>32</v>
      </c>
      <c r="C54" s="193" t="s">
        <v>29</v>
      </c>
      <c r="D54" s="193"/>
      <c r="E54" s="193"/>
      <c r="F54" s="193"/>
      <c r="G54" s="7"/>
      <c r="H54" s="7"/>
      <c r="I54" s="7"/>
      <c r="J54" s="58"/>
      <c r="K54" s="58">
        <f>'Monitor de Transporte Escolar'!E90</f>
        <v>4485.726463695999</v>
      </c>
      <c r="L54" s="7"/>
    </row>
    <row r="55" spans="1:12" ht="15.75" x14ac:dyDescent="0.25">
      <c r="A55" s="7" t="s">
        <v>30</v>
      </c>
      <c r="B55" s="7"/>
      <c r="C55" s="193" t="s">
        <v>34</v>
      </c>
      <c r="D55" s="193"/>
      <c r="E55" s="193"/>
      <c r="F55" s="193"/>
      <c r="G55" s="7"/>
      <c r="H55" s="7"/>
      <c r="I55" s="7"/>
      <c r="J55" s="58"/>
      <c r="K55" s="58"/>
      <c r="L55" s="56"/>
    </row>
    <row r="56" spans="1:12" ht="15.75" x14ac:dyDescent="0.25">
      <c r="A56" s="7"/>
      <c r="B56" s="7" t="s">
        <v>33</v>
      </c>
      <c r="C56" s="7" t="s">
        <v>35</v>
      </c>
      <c r="D56" s="7"/>
      <c r="E56" s="7"/>
      <c r="F56" s="7"/>
      <c r="G56" s="7"/>
      <c r="H56" s="7"/>
      <c r="I56" s="7"/>
      <c r="J56" s="58">
        <f>1/100*E12</f>
        <v>5310.6837999999998</v>
      </c>
      <c r="K56" s="58">
        <f>J56/12</f>
        <v>442.55698333333333</v>
      </c>
      <c r="L56" s="7"/>
    </row>
    <row r="57" spans="1:12" ht="15.75" x14ac:dyDescent="0.25">
      <c r="A57" s="7"/>
      <c r="B57" s="7" t="s">
        <v>36</v>
      </c>
      <c r="C57" s="7" t="s">
        <v>37</v>
      </c>
      <c r="D57" s="7"/>
      <c r="E57" s="7"/>
      <c r="F57" s="7"/>
      <c r="G57" s="7"/>
      <c r="H57" s="7"/>
      <c r="I57" s="7"/>
      <c r="J57" s="58">
        <v>230.25</v>
      </c>
      <c r="K57" s="58">
        <f>J57/12</f>
        <v>19.1875</v>
      </c>
      <c r="L57" s="7"/>
    </row>
    <row r="58" spans="1:12" ht="15.75" x14ac:dyDescent="0.25">
      <c r="A58" s="7"/>
      <c r="B58" s="7" t="s">
        <v>38</v>
      </c>
      <c r="C58" s="193" t="s">
        <v>39</v>
      </c>
      <c r="D58" s="193"/>
      <c r="E58" s="193"/>
      <c r="F58" s="193"/>
      <c r="G58" s="7"/>
      <c r="H58" s="7"/>
      <c r="I58" s="7"/>
      <c r="J58" s="58">
        <v>161.80000000000001</v>
      </c>
      <c r="K58" s="58">
        <f>J58/12</f>
        <v>13.483333333333334</v>
      </c>
      <c r="L58" s="7"/>
    </row>
    <row r="59" spans="1:12" ht="15.75" x14ac:dyDescent="0.25">
      <c r="A59" s="7" t="s">
        <v>41</v>
      </c>
      <c r="B59" s="7"/>
      <c r="C59" s="7" t="s">
        <v>40</v>
      </c>
      <c r="D59" s="7"/>
      <c r="E59" s="7"/>
      <c r="F59" s="7"/>
      <c r="G59" s="7"/>
      <c r="H59" s="7"/>
      <c r="I59" s="7"/>
      <c r="J59" s="58">
        <v>0</v>
      </c>
      <c r="K59" s="58">
        <f>J59/12</f>
        <v>0</v>
      </c>
      <c r="L59" s="7"/>
    </row>
    <row r="60" spans="1:12" ht="15.75" x14ac:dyDescent="0.25">
      <c r="A60" s="7" t="s">
        <v>57</v>
      </c>
      <c r="B60" s="7"/>
      <c r="C60" s="193" t="s">
        <v>58</v>
      </c>
      <c r="D60" s="193"/>
      <c r="E60" s="193"/>
      <c r="F60" s="193"/>
      <c r="G60" s="193"/>
      <c r="H60" s="7"/>
      <c r="I60" s="7"/>
      <c r="J60" s="58">
        <f>Insumos!$B$8</f>
        <v>350.88</v>
      </c>
      <c r="K60" s="58">
        <f>4*J60</f>
        <v>1403.52</v>
      </c>
      <c r="L60" s="7"/>
    </row>
    <row r="61" spans="1:12" ht="15.75" x14ac:dyDescent="0.25">
      <c r="A61" s="7" t="s">
        <v>60</v>
      </c>
      <c r="B61" s="7"/>
      <c r="C61" s="45" t="s">
        <v>63</v>
      </c>
      <c r="D61" s="45"/>
      <c r="E61" s="45"/>
      <c r="F61" s="45"/>
      <c r="G61" s="45"/>
      <c r="H61" s="7"/>
      <c r="I61" s="7"/>
      <c r="J61" s="58">
        <f>Insumos!$B$9</f>
        <v>2680.95</v>
      </c>
      <c r="K61" s="58">
        <f>J61/12</f>
        <v>223.41249999999999</v>
      </c>
      <c r="L61" s="7"/>
    </row>
    <row r="62" spans="1:12" ht="15.75" x14ac:dyDescent="0.25">
      <c r="A62" s="7" t="s">
        <v>61</v>
      </c>
      <c r="B62" s="7"/>
      <c r="C62" s="193" t="s">
        <v>62</v>
      </c>
      <c r="D62" s="193"/>
      <c r="E62" s="193"/>
      <c r="F62" s="45"/>
      <c r="G62" s="45"/>
      <c r="H62" s="7"/>
      <c r="I62" s="7"/>
      <c r="J62" s="60">
        <f>Insumos!$B$10</f>
        <v>932.23</v>
      </c>
      <c r="K62" s="58">
        <f>J62/12</f>
        <v>77.685833333333335</v>
      </c>
      <c r="L62" s="7"/>
    </row>
    <row r="63" spans="1:12" ht="15.75" x14ac:dyDescent="0.25">
      <c r="A63" s="7" t="s">
        <v>142</v>
      </c>
      <c r="B63" s="7"/>
      <c r="C63" s="203" t="s">
        <v>143</v>
      </c>
      <c r="D63" s="203"/>
      <c r="E63" s="203"/>
      <c r="F63" s="203"/>
      <c r="G63" s="164"/>
      <c r="H63" s="7"/>
      <c r="I63" s="7"/>
      <c r="J63" s="60">
        <f>Insumos!$B$11</f>
        <v>471.82</v>
      </c>
      <c r="K63" s="72">
        <f>J63/24</f>
        <v>19.659166666666668</v>
      </c>
      <c r="L63" s="7"/>
    </row>
    <row r="64" spans="1:12" ht="15.75" x14ac:dyDescent="0.25">
      <c r="A64" s="7" t="s">
        <v>340</v>
      </c>
      <c r="B64" s="7"/>
      <c r="C64" s="165" t="s">
        <v>343</v>
      </c>
      <c r="D64" s="165"/>
      <c r="E64" s="165"/>
      <c r="F64" s="165"/>
      <c r="G64" s="164"/>
      <c r="H64" s="7"/>
      <c r="I64" s="7"/>
      <c r="J64" s="60">
        <f>Insumos!$B$12</f>
        <v>14.372399999999997</v>
      </c>
      <c r="K64" s="72">
        <f>J64/60</f>
        <v>0.23953999999999995</v>
      </c>
      <c r="L64" s="7"/>
    </row>
    <row r="65" spans="1:13" ht="20.25" customHeight="1" x14ac:dyDescent="0.25">
      <c r="A65" s="259" t="s">
        <v>43</v>
      </c>
      <c r="B65" s="260"/>
      <c r="C65" s="260"/>
      <c r="D65" s="260"/>
      <c r="E65" s="260"/>
      <c r="F65" s="260"/>
      <c r="G65" s="260"/>
      <c r="H65" s="260"/>
      <c r="I65" s="260"/>
      <c r="J65" s="261"/>
      <c r="K65" s="67">
        <f>SUM(K51:K64)</f>
        <v>19136.944978202664</v>
      </c>
      <c r="L65" s="57" t="s">
        <v>16</v>
      </c>
      <c r="M65" s="4"/>
    </row>
    <row r="67" spans="1:13" ht="19.5" customHeight="1" x14ac:dyDescent="0.3">
      <c r="A67" s="262" t="s">
        <v>132</v>
      </c>
      <c r="B67" s="263"/>
      <c r="C67" s="263"/>
      <c r="D67" s="263"/>
      <c r="E67" s="263"/>
      <c r="F67" s="263"/>
      <c r="G67" s="263"/>
      <c r="H67" s="263"/>
      <c r="I67" s="264"/>
      <c r="K67" s="66">
        <f>K47+K65</f>
        <v>21517.171339257671</v>
      </c>
    </row>
    <row r="69" spans="1:13" ht="15.75" x14ac:dyDescent="0.25">
      <c r="A69" s="254" t="s">
        <v>133</v>
      </c>
      <c r="B69" s="255"/>
      <c r="C69" s="255"/>
      <c r="D69" s="255"/>
      <c r="E69" s="256"/>
      <c r="I69" s="265" t="s">
        <v>55</v>
      </c>
      <c r="J69" s="266"/>
    </row>
    <row r="70" spans="1:13" ht="15.75" x14ac:dyDescent="0.25">
      <c r="A70" s="7" t="s">
        <v>341</v>
      </c>
      <c r="B70" s="7"/>
      <c r="C70" s="193" t="s">
        <v>54</v>
      </c>
      <c r="D70" s="193"/>
      <c r="E70" s="193"/>
      <c r="F70" s="193"/>
      <c r="G70" s="7"/>
      <c r="H70" s="7"/>
      <c r="I70" s="168">
        <f>Insumos!$B$15</f>
        <v>2.6599999999999999E-2</v>
      </c>
      <c r="J70" s="7"/>
      <c r="K70" s="58">
        <f>I70*K67</f>
        <v>572.35675762425399</v>
      </c>
      <c r="L70" s="7"/>
    </row>
    <row r="71" spans="1:13" ht="15.75" x14ac:dyDescent="0.25">
      <c r="A71" s="7" t="s">
        <v>342</v>
      </c>
      <c r="B71" s="7"/>
      <c r="C71" s="193" t="s">
        <v>59</v>
      </c>
      <c r="D71" s="193"/>
      <c r="E71" s="193"/>
      <c r="F71" s="193"/>
      <c r="G71" s="7"/>
      <c r="H71" s="7"/>
      <c r="I71" s="169">
        <f>Insumos!$B$16</f>
        <v>0.04</v>
      </c>
      <c r="J71" s="7"/>
      <c r="K71" s="58">
        <f>I71*(K67+K70)</f>
        <v>883.58112387527694</v>
      </c>
      <c r="L71" s="7"/>
    </row>
    <row r="72" spans="1:13" ht="18.75" x14ac:dyDescent="0.3">
      <c r="A72" s="7"/>
      <c r="B72" s="7"/>
      <c r="C72" s="7"/>
      <c r="D72" s="7"/>
      <c r="E72" s="7"/>
      <c r="F72" s="7"/>
      <c r="G72" s="7"/>
      <c r="H72" s="7"/>
      <c r="I72" s="7"/>
      <c r="J72" s="61" t="s">
        <v>131</v>
      </c>
      <c r="K72" s="65">
        <f>SUM(K70:K71)</f>
        <v>1455.9378814995309</v>
      </c>
      <c r="L72" s="54" t="s">
        <v>16</v>
      </c>
    </row>
    <row r="74" spans="1:13" ht="15.75" x14ac:dyDescent="0.25">
      <c r="A74" s="254" t="s">
        <v>134</v>
      </c>
      <c r="B74" s="255"/>
      <c r="C74" s="255"/>
      <c r="D74" s="255"/>
      <c r="E74" s="256"/>
      <c r="F74" s="7"/>
      <c r="G74" s="7"/>
      <c r="H74" s="7"/>
      <c r="I74" s="7"/>
      <c r="J74" s="7"/>
      <c r="K74" s="7"/>
      <c r="L74" s="7"/>
    </row>
    <row r="75" spans="1:13" ht="15.75" x14ac:dyDescent="0.25">
      <c r="A75" s="193" t="s">
        <v>42</v>
      </c>
      <c r="B75" s="193"/>
      <c r="C75" s="193"/>
      <c r="D75" s="193"/>
      <c r="E75" s="193"/>
      <c r="F75" s="193"/>
      <c r="G75" s="7"/>
      <c r="H75" s="7"/>
      <c r="I75" s="219" t="s">
        <v>47</v>
      </c>
      <c r="J75" s="220"/>
      <c r="K75" s="51">
        <f>K67+K72</f>
        <v>22973.109220757204</v>
      </c>
      <c r="L75" s="7"/>
    </row>
    <row r="76" spans="1:13" ht="15.75" x14ac:dyDescent="0.25">
      <c r="A76" s="7" t="s">
        <v>53</v>
      </c>
      <c r="C76" s="7" t="s">
        <v>44</v>
      </c>
      <c r="D76" s="7"/>
      <c r="E76" s="7"/>
      <c r="F76" s="7"/>
      <c r="G76" s="7"/>
      <c r="H76" s="7"/>
      <c r="I76" s="257">
        <f>Insumos!$B$18</f>
        <v>0.05</v>
      </c>
      <c r="J76" s="258"/>
      <c r="K76" s="51">
        <f>$K$75/(1-(SUM($I$76:$J$78)))*I76</f>
        <v>1257.4225079779533</v>
      </c>
      <c r="L76" s="7"/>
    </row>
    <row r="77" spans="1:13" ht="15.75" x14ac:dyDescent="0.25">
      <c r="A77" s="7" t="s">
        <v>344</v>
      </c>
      <c r="C77" s="7" t="s">
        <v>45</v>
      </c>
      <c r="D77" s="7"/>
      <c r="E77" s="7"/>
      <c r="F77" s="7"/>
      <c r="G77" s="7"/>
      <c r="H77" s="7"/>
      <c r="I77" s="257">
        <f>Insumos!$B$19</f>
        <v>6.4999999999999997E-3</v>
      </c>
      <c r="J77" s="258"/>
      <c r="K77" s="51">
        <f>$K$75/(1-(SUM($I$76:$J$78)))*I77</f>
        <v>163.46492603713389</v>
      </c>
      <c r="L77" s="7"/>
    </row>
    <row r="78" spans="1:13" ht="15.75" x14ac:dyDescent="0.25">
      <c r="A78" s="7" t="s">
        <v>345</v>
      </c>
      <c r="C78" s="7" t="s">
        <v>46</v>
      </c>
      <c r="D78" s="7"/>
      <c r="E78" s="7"/>
      <c r="F78" s="7"/>
      <c r="G78" s="7"/>
      <c r="H78" s="7"/>
      <c r="I78" s="257">
        <f>Insumos!$B$20</f>
        <v>0.03</v>
      </c>
      <c r="J78" s="258"/>
      <c r="K78" s="51">
        <f>$K$75/(1-(SUM($I$76:$J$78)))*I78</f>
        <v>754.45350478677187</v>
      </c>
      <c r="L78" s="7"/>
    </row>
    <row r="79" spans="1:13" ht="21" customHeight="1" x14ac:dyDescent="0.3">
      <c r="A79" s="251" t="s">
        <v>48</v>
      </c>
      <c r="B79" s="252"/>
      <c r="C79" s="252"/>
      <c r="D79" s="252"/>
      <c r="E79" s="252"/>
      <c r="F79" s="252"/>
      <c r="G79" s="252"/>
      <c r="H79" s="252"/>
      <c r="I79" s="252"/>
      <c r="J79" s="253"/>
      <c r="K79" s="64">
        <f>SUM(K76:K78)</f>
        <v>2175.340938801859</v>
      </c>
      <c r="L79" s="54" t="s">
        <v>16</v>
      </c>
    </row>
    <row r="81" spans="1:20" x14ac:dyDescent="0.25">
      <c r="C81" s="5"/>
      <c r="D81" s="5"/>
      <c r="E81" s="5"/>
      <c r="F81" s="5"/>
      <c r="K81" s="2"/>
    </row>
    <row r="82" spans="1:20" ht="15.75" x14ac:dyDescent="0.25">
      <c r="A82" s="191" t="s">
        <v>56</v>
      </c>
      <c r="B82" s="191"/>
      <c r="C82" s="191"/>
      <c r="D82" s="191"/>
      <c r="E82" s="191"/>
      <c r="F82" s="191"/>
      <c r="G82" s="191"/>
      <c r="H82" s="191"/>
      <c r="I82" s="191"/>
      <c r="T82" s="43"/>
    </row>
    <row r="83" spans="1:20" ht="15.75" x14ac:dyDescent="0.25">
      <c r="A83" s="6"/>
      <c r="B83" s="6"/>
      <c r="C83" s="6"/>
      <c r="D83" s="6"/>
      <c r="E83" s="6"/>
      <c r="F83" s="6"/>
      <c r="G83" s="6"/>
      <c r="H83" s="6"/>
      <c r="I83" s="6"/>
    </row>
    <row r="84" spans="1:20" ht="15.75" x14ac:dyDescent="0.25">
      <c r="A84" s="191" t="s">
        <v>51</v>
      </c>
      <c r="B84" s="192"/>
      <c r="C84" s="192"/>
      <c r="D84" s="192"/>
      <c r="E84" s="192"/>
      <c r="F84" s="192"/>
      <c r="G84" s="192"/>
      <c r="H84" s="192"/>
    </row>
    <row r="85" spans="1:20" ht="20.25" customHeight="1" x14ac:dyDescent="0.3">
      <c r="A85" s="193" t="s">
        <v>135</v>
      </c>
      <c r="B85" s="193"/>
      <c r="C85" s="193"/>
      <c r="D85" s="193"/>
      <c r="E85" s="193"/>
      <c r="F85" s="193"/>
      <c r="G85" s="193"/>
      <c r="H85" s="193"/>
      <c r="I85" s="193"/>
      <c r="J85" s="193"/>
      <c r="K85" s="62">
        <f>K67+K72+K79</f>
        <v>25148.450159559063</v>
      </c>
    </row>
    <row r="86" spans="1:20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2"/>
    </row>
    <row r="87" spans="1:20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2"/>
      <c r="P87" s="42"/>
    </row>
    <row r="88" spans="1:20" ht="8.25" customHeight="1" x14ac:dyDescent="0.25"/>
    <row r="89" spans="1:20" ht="16.5" customHeight="1" x14ac:dyDescent="0.25">
      <c r="A89" s="194" t="s">
        <v>49</v>
      </c>
      <c r="B89" s="195"/>
      <c r="C89" s="195"/>
      <c r="D89" s="195"/>
      <c r="E89" s="195"/>
      <c r="F89" s="195"/>
      <c r="G89" s="195"/>
      <c r="H89" s="195"/>
      <c r="I89" s="195"/>
      <c r="J89" s="195"/>
      <c r="K89" s="7"/>
      <c r="L89" s="7"/>
    </row>
    <row r="90" spans="1:20" ht="24.75" customHeight="1" x14ac:dyDescent="0.3">
      <c r="A90" s="196" t="s">
        <v>141</v>
      </c>
      <c r="B90" s="196"/>
      <c r="C90" s="196"/>
      <c r="D90" s="196"/>
      <c r="E90" s="196"/>
      <c r="F90" s="196"/>
      <c r="G90" s="196"/>
      <c r="H90" s="196"/>
      <c r="I90" s="196"/>
      <c r="J90" s="196"/>
      <c r="K90" s="71">
        <f>K85/O18</f>
        <v>54.433874804240396</v>
      </c>
      <c r="L90" s="63" t="s">
        <v>50</v>
      </c>
    </row>
    <row r="94" spans="1:20" s="10" customFormat="1" x14ac:dyDescent="0.25"/>
    <row r="95" spans="1:20" s="11" customFormat="1" ht="18.75" x14ac:dyDescent="0.3">
      <c r="B95" s="12" t="s">
        <v>69</v>
      </c>
      <c r="D95" s="188" t="s">
        <v>65</v>
      </c>
      <c r="E95" s="188"/>
      <c r="L95" s="12" t="s">
        <v>69</v>
      </c>
      <c r="M95" s="12"/>
      <c r="N95" s="12" t="s">
        <v>75</v>
      </c>
      <c r="O95" s="12"/>
    </row>
    <row r="96" spans="1:20" s="11" customFormat="1" x14ac:dyDescent="0.25"/>
    <row r="97" spans="2:18" s="11" customFormat="1" x14ac:dyDescent="0.25">
      <c r="B97" s="184" t="s">
        <v>66</v>
      </c>
      <c r="C97" s="184"/>
      <c r="D97" s="13"/>
      <c r="E97" s="13"/>
      <c r="F97" s="189">
        <v>288912</v>
      </c>
      <c r="G97" s="189"/>
      <c r="L97" s="13" t="s">
        <v>66</v>
      </c>
      <c r="M97" s="13"/>
      <c r="N97" s="13"/>
      <c r="O97" s="13"/>
      <c r="P97" s="13"/>
      <c r="Q97" s="30">
        <v>271500</v>
      </c>
    </row>
    <row r="98" spans="2:18" s="11" customFormat="1" x14ac:dyDescent="0.25">
      <c r="B98" s="13" t="s">
        <v>67</v>
      </c>
      <c r="D98" s="13"/>
      <c r="E98" s="13"/>
      <c r="F98" s="185">
        <v>10</v>
      </c>
      <c r="G98" s="185"/>
      <c r="H98" s="11" t="s">
        <v>154</v>
      </c>
      <c r="L98" s="13" t="s">
        <v>67</v>
      </c>
      <c r="M98" s="13"/>
      <c r="N98" s="13"/>
      <c r="O98" s="13"/>
      <c r="P98" s="13"/>
      <c r="Q98" s="13">
        <v>10</v>
      </c>
      <c r="R98" s="11" t="s">
        <v>154</v>
      </c>
    </row>
    <row r="99" spans="2:18" s="11" customFormat="1" x14ac:dyDescent="0.25">
      <c r="B99" s="13" t="s">
        <v>81</v>
      </c>
      <c r="D99" s="13"/>
      <c r="E99" s="13"/>
      <c r="F99" s="14"/>
      <c r="G99" s="14">
        <v>2018</v>
      </c>
      <c r="L99" s="13" t="s">
        <v>81</v>
      </c>
      <c r="N99" s="13"/>
      <c r="O99" s="13"/>
      <c r="P99" s="14"/>
      <c r="Q99" s="14">
        <v>2018</v>
      </c>
    </row>
    <row r="100" spans="2:18" s="11" customFormat="1" x14ac:dyDescent="0.25">
      <c r="B100" s="184" t="s">
        <v>68</v>
      </c>
      <c r="C100" s="184"/>
      <c r="D100" s="184"/>
      <c r="F100" s="185">
        <v>6</v>
      </c>
      <c r="G100" s="185"/>
      <c r="L100" s="13" t="s">
        <v>76</v>
      </c>
      <c r="M100" s="13"/>
      <c r="N100" s="13"/>
      <c r="O100" s="13"/>
      <c r="P100" s="13"/>
      <c r="Q100" s="13">
        <v>6</v>
      </c>
    </row>
    <row r="101" spans="2:18" s="11" customFormat="1" x14ac:dyDescent="0.25">
      <c r="B101" s="184" t="s">
        <v>71</v>
      </c>
      <c r="C101" s="184"/>
      <c r="D101" s="184"/>
      <c r="F101" s="14"/>
      <c r="G101" s="17">
        <v>100000</v>
      </c>
      <c r="L101" s="13" t="s">
        <v>71</v>
      </c>
      <c r="M101" s="13"/>
      <c r="N101" s="13"/>
      <c r="O101" s="13"/>
      <c r="P101" s="13"/>
      <c r="Q101" s="19">
        <v>100000</v>
      </c>
    </row>
    <row r="102" spans="2:18" s="11" customFormat="1" x14ac:dyDescent="0.25">
      <c r="B102" s="184" t="s">
        <v>72</v>
      </c>
      <c r="C102" s="184"/>
      <c r="D102" s="184"/>
      <c r="F102" s="14"/>
      <c r="G102" s="20">
        <v>1533.77</v>
      </c>
      <c r="L102" s="13" t="s">
        <v>72</v>
      </c>
      <c r="M102" s="13"/>
      <c r="N102" s="13"/>
      <c r="O102" s="13"/>
      <c r="P102" s="13"/>
      <c r="Q102" s="69">
        <v>860.69</v>
      </c>
    </row>
    <row r="103" spans="2:18" s="11" customFormat="1" x14ac:dyDescent="0.25">
      <c r="B103" s="184" t="s">
        <v>73</v>
      </c>
      <c r="C103" s="184"/>
      <c r="D103" s="15"/>
      <c r="F103" s="14"/>
      <c r="G103" s="14">
        <v>2.6</v>
      </c>
      <c r="H103" s="13" t="s">
        <v>74</v>
      </c>
      <c r="L103" s="13" t="s">
        <v>73</v>
      </c>
      <c r="M103" s="13"/>
      <c r="N103" s="13"/>
      <c r="O103" s="13"/>
      <c r="P103" s="13"/>
      <c r="Q103" s="13">
        <v>4.7</v>
      </c>
    </row>
    <row r="104" spans="2:18" s="11" customFormat="1" x14ac:dyDescent="0.25">
      <c r="B104" s="184" t="s">
        <v>70</v>
      </c>
      <c r="C104" s="184"/>
      <c r="D104" s="184"/>
      <c r="F104" s="185" t="s">
        <v>125</v>
      </c>
      <c r="G104" s="185"/>
      <c r="L104" s="13" t="s">
        <v>70</v>
      </c>
      <c r="M104" s="13"/>
      <c r="N104" s="13"/>
      <c r="O104" s="13"/>
      <c r="P104" s="13"/>
      <c r="Q104" s="13" t="s">
        <v>124</v>
      </c>
    </row>
    <row r="105" spans="2:18" s="11" customFormat="1" x14ac:dyDescent="0.25"/>
    <row r="106" spans="2:18" s="11" customFormat="1" x14ac:dyDescent="0.25"/>
    <row r="107" spans="2:18" s="11" customFormat="1" ht="18.75" x14ac:dyDescent="0.3">
      <c r="B107" s="12" t="s">
        <v>69</v>
      </c>
      <c r="C107" s="12"/>
      <c r="D107" s="12" t="s">
        <v>77</v>
      </c>
      <c r="E107" s="13"/>
      <c r="F107" s="13"/>
      <c r="G107" s="13"/>
      <c r="H107" s="13"/>
      <c r="L107" s="12" t="s">
        <v>69</v>
      </c>
      <c r="M107" s="16"/>
      <c r="N107" s="16"/>
      <c r="O107" s="12" t="s">
        <v>78</v>
      </c>
    </row>
    <row r="108" spans="2:18" s="11" customFormat="1" x14ac:dyDescent="0.25">
      <c r="B108" s="13"/>
      <c r="C108" s="13"/>
      <c r="D108" s="13"/>
      <c r="E108" s="13"/>
      <c r="F108" s="13"/>
      <c r="G108" s="13"/>
      <c r="H108" s="13"/>
    </row>
    <row r="109" spans="2:18" s="11" customFormat="1" x14ac:dyDescent="0.25">
      <c r="B109" s="184" t="s">
        <v>66</v>
      </c>
      <c r="C109" s="184"/>
      <c r="D109" s="13"/>
      <c r="E109" s="13"/>
      <c r="F109" s="185">
        <v>400</v>
      </c>
      <c r="G109" s="185"/>
      <c r="H109" s="13"/>
      <c r="L109" s="184" t="s">
        <v>66</v>
      </c>
      <c r="M109" s="184"/>
      <c r="N109" s="13"/>
      <c r="O109" s="13"/>
      <c r="P109" s="185" t="s">
        <v>78</v>
      </c>
      <c r="Q109" s="185"/>
      <c r="R109" s="13"/>
    </row>
    <row r="110" spans="2:18" s="11" customFormat="1" x14ac:dyDescent="0.25">
      <c r="B110" s="13" t="s">
        <v>67</v>
      </c>
      <c r="C110" s="13"/>
      <c r="D110" s="13"/>
      <c r="E110" s="13"/>
      <c r="F110" s="185">
        <v>10</v>
      </c>
      <c r="G110" s="185"/>
      <c r="H110" s="13" t="s">
        <v>154</v>
      </c>
      <c r="L110" s="13" t="s">
        <v>67</v>
      </c>
      <c r="M110" s="13"/>
      <c r="N110" s="13"/>
      <c r="O110" s="13"/>
      <c r="P110" s="185">
        <v>8</v>
      </c>
      <c r="Q110" s="185"/>
      <c r="R110" s="13" t="s">
        <v>154</v>
      </c>
    </row>
    <row r="111" spans="2:18" s="11" customFormat="1" x14ac:dyDescent="0.25">
      <c r="B111" s="13" t="s">
        <v>81</v>
      </c>
      <c r="D111" s="13"/>
      <c r="E111" s="13"/>
      <c r="F111" s="14"/>
      <c r="G111" s="14" t="s">
        <v>82</v>
      </c>
      <c r="L111" s="13" t="s">
        <v>81</v>
      </c>
      <c r="N111" s="13"/>
      <c r="O111" s="13"/>
      <c r="P111" s="14"/>
      <c r="Q111" s="14" t="s">
        <v>83</v>
      </c>
      <c r="R111" s="13"/>
    </row>
    <row r="112" spans="2:18" s="11" customFormat="1" x14ac:dyDescent="0.25">
      <c r="B112" s="184" t="s">
        <v>68</v>
      </c>
      <c r="C112" s="184"/>
      <c r="D112" s="184"/>
      <c r="E112" s="13"/>
      <c r="F112" s="185" t="s">
        <v>87</v>
      </c>
      <c r="G112" s="185"/>
      <c r="H112" s="13"/>
      <c r="L112" s="184" t="s">
        <v>68</v>
      </c>
      <c r="M112" s="184"/>
      <c r="N112" s="184"/>
      <c r="O112" s="13"/>
      <c r="P112" s="185" t="s">
        <v>88</v>
      </c>
      <c r="Q112" s="185"/>
      <c r="R112" s="13"/>
    </row>
    <row r="113" spans="2:21" s="11" customFormat="1" x14ac:dyDescent="0.25">
      <c r="B113" s="184" t="s">
        <v>71</v>
      </c>
      <c r="C113" s="184"/>
      <c r="D113" s="184"/>
      <c r="E113" s="13"/>
      <c r="F113" s="14"/>
      <c r="G113" s="14" t="s">
        <v>89</v>
      </c>
      <c r="H113" s="13"/>
      <c r="L113" s="184" t="s">
        <v>71</v>
      </c>
      <c r="M113" s="184"/>
      <c r="N113" s="184"/>
      <c r="O113" s="13"/>
      <c r="P113" s="14"/>
      <c r="Q113" s="14" t="s">
        <v>90</v>
      </c>
      <c r="R113" s="13"/>
    </row>
    <row r="114" spans="2:21" s="11" customFormat="1" x14ac:dyDescent="0.25">
      <c r="B114" s="184" t="s">
        <v>72</v>
      </c>
      <c r="C114" s="184"/>
      <c r="D114" s="184"/>
      <c r="E114" s="13"/>
      <c r="F114" s="14"/>
      <c r="G114" s="14">
        <v>400</v>
      </c>
      <c r="H114" s="13"/>
      <c r="L114" s="184" t="s">
        <v>72</v>
      </c>
      <c r="M114" s="184"/>
      <c r="N114" s="184"/>
      <c r="O114" s="13"/>
      <c r="P114" s="14"/>
      <c r="Q114" s="14">
        <v>4444</v>
      </c>
      <c r="R114" s="13"/>
    </row>
    <row r="115" spans="2:21" s="11" customFormat="1" x14ac:dyDescent="0.25">
      <c r="B115" s="184" t="s">
        <v>73</v>
      </c>
      <c r="C115" s="184"/>
      <c r="D115" s="15"/>
      <c r="E115" s="13"/>
      <c r="F115" s="14"/>
      <c r="G115" s="14">
        <v>2</v>
      </c>
      <c r="H115" s="13" t="s">
        <v>74</v>
      </c>
      <c r="L115" s="184" t="s">
        <v>73</v>
      </c>
      <c r="M115" s="184"/>
      <c r="N115" s="15"/>
      <c r="O115" s="13"/>
      <c r="P115" s="14"/>
      <c r="Q115" s="14">
        <v>4</v>
      </c>
      <c r="R115" s="13" t="s">
        <v>74</v>
      </c>
    </row>
    <row r="116" spans="2:21" s="11" customFormat="1" x14ac:dyDescent="0.25">
      <c r="B116" s="184" t="s">
        <v>70</v>
      </c>
      <c r="C116" s="184"/>
      <c r="D116" s="184"/>
      <c r="E116" s="13"/>
      <c r="F116" s="185" t="s">
        <v>85</v>
      </c>
      <c r="G116" s="185"/>
      <c r="H116" s="13"/>
      <c r="L116" s="184" t="s">
        <v>70</v>
      </c>
      <c r="M116" s="184"/>
      <c r="N116" s="184"/>
      <c r="O116" s="13"/>
      <c r="P116" s="185" t="s">
        <v>86</v>
      </c>
      <c r="Q116" s="185"/>
      <c r="R116" s="13"/>
    </row>
    <row r="117" spans="2:21" s="11" customFormat="1" x14ac:dyDescent="0.25"/>
    <row r="118" spans="2:21" s="11" customFormat="1" x14ac:dyDescent="0.25"/>
    <row r="119" spans="2:21" s="11" customFormat="1" ht="18.75" x14ac:dyDescent="0.3">
      <c r="Q119" s="12" t="s">
        <v>65</v>
      </c>
      <c r="R119" s="12"/>
      <c r="T119" s="13" t="s">
        <v>130</v>
      </c>
      <c r="U119" s="13"/>
    </row>
    <row r="120" spans="2:21" s="11" customFormat="1" ht="18.75" x14ac:dyDescent="0.3">
      <c r="Q120" s="12" t="s">
        <v>75</v>
      </c>
      <c r="T120" s="13" t="s">
        <v>129</v>
      </c>
      <c r="U120" s="13"/>
    </row>
    <row r="121" spans="2:21" s="11" customFormat="1" ht="18.75" x14ac:dyDescent="0.3">
      <c r="Q121" s="12" t="s">
        <v>77</v>
      </c>
    </row>
    <row r="122" spans="2:21" s="11" customFormat="1" ht="18" customHeight="1" x14ac:dyDescent="0.3">
      <c r="B122" s="186" t="s">
        <v>172</v>
      </c>
      <c r="C122" s="186"/>
      <c r="Q122" s="12" t="s">
        <v>78</v>
      </c>
    </row>
    <row r="123" spans="2:21" ht="0.75" hidden="1" customHeight="1" x14ac:dyDescent="0.25">
      <c r="B123" s="186"/>
      <c r="C123" s="186"/>
    </row>
    <row r="124" spans="2:21" hidden="1" x14ac:dyDescent="0.25">
      <c r="B124" s="186"/>
      <c r="C124" s="186"/>
    </row>
    <row r="125" spans="2:21" x14ac:dyDescent="0.25">
      <c r="B125" s="186"/>
      <c r="C125" s="186"/>
    </row>
    <row r="126" spans="2:21" ht="24.75" x14ac:dyDescent="0.25">
      <c r="B126" s="94" t="s">
        <v>173</v>
      </c>
      <c r="C126" s="9" t="s">
        <v>174</v>
      </c>
      <c r="D126" s="9"/>
      <c r="E126" s="9"/>
      <c r="F126" s="9" t="s">
        <v>175</v>
      </c>
      <c r="G126" s="9"/>
      <c r="H126" s="9"/>
      <c r="I126" s="9" t="s">
        <v>176</v>
      </c>
      <c r="J126" s="9"/>
      <c r="K126" s="9"/>
      <c r="L126" s="9" t="s">
        <v>177</v>
      </c>
      <c r="M126" s="9"/>
      <c r="N126" s="9"/>
    </row>
    <row r="127" spans="2:21" x14ac:dyDescent="0.25">
      <c r="B127" s="5">
        <v>40</v>
      </c>
      <c r="C127" s="2">
        <f>$K$42*(B127*21)</f>
        <v>4049.0369329846144</v>
      </c>
      <c r="F127" s="2">
        <f>(C127+$K$65)*0.05</f>
        <v>1159.2990955593639</v>
      </c>
      <c r="I127" s="2">
        <f>(C127+$K$65+F127)*6%</f>
        <v>1460.7168604047984</v>
      </c>
      <c r="L127" s="31">
        <f>(C127+$K$65+F127+I127)*14.25%</f>
        <v>3677.3546960690801</v>
      </c>
      <c r="M127" s="9"/>
      <c r="N127" s="9"/>
    </row>
    <row r="128" spans="2:21" x14ac:dyDescent="0.25">
      <c r="B128" s="5">
        <v>50</v>
      </c>
      <c r="C128" s="2">
        <f t="shared" ref="C128:C139" si="0">$K$42*(B128*21)</f>
        <v>5061.296166230768</v>
      </c>
      <c r="F128" s="2">
        <f t="shared" ref="F128:F139" si="1">(C128+$K$65)*0.05</f>
        <v>1209.9120572216716</v>
      </c>
      <c r="I128" s="2">
        <f t="shared" ref="I128:I139" si="2">(C128+$K$65+F128)*6%</f>
        <v>1524.4891920993061</v>
      </c>
      <c r="L128" s="31">
        <f t="shared" ref="L128:L139" si="3">(C128+$K$65+F128+I128)*14.25%</f>
        <v>3837.9015411100031</v>
      </c>
      <c r="M128" s="9"/>
      <c r="N128" s="9"/>
    </row>
    <row r="129" spans="2:14" x14ac:dyDescent="0.25">
      <c r="B129" s="5">
        <v>60</v>
      </c>
      <c r="C129" s="2">
        <f t="shared" si="0"/>
        <v>6073.5553994769216</v>
      </c>
      <c r="F129" s="2">
        <f t="shared" si="1"/>
        <v>1260.5250188839793</v>
      </c>
      <c r="I129" s="2">
        <f t="shared" si="2"/>
        <v>1588.2615237938137</v>
      </c>
      <c r="L129" s="31">
        <f t="shared" si="3"/>
        <v>3998.4483861509261</v>
      </c>
      <c r="M129" s="9"/>
      <c r="N129" s="9"/>
    </row>
    <row r="130" spans="2:14" x14ac:dyDescent="0.25">
      <c r="B130" s="5">
        <v>70</v>
      </c>
      <c r="C130" s="2">
        <f t="shared" si="0"/>
        <v>7085.8146327230752</v>
      </c>
      <c r="F130" s="2">
        <f t="shared" si="1"/>
        <v>1311.1379805462871</v>
      </c>
      <c r="I130" s="2">
        <f t="shared" si="2"/>
        <v>1652.0338554883215</v>
      </c>
      <c r="L130" s="31">
        <f t="shared" si="3"/>
        <v>4158.9952311918487</v>
      </c>
      <c r="M130" s="9"/>
      <c r="N130" s="9"/>
    </row>
    <row r="131" spans="2:14" x14ac:dyDescent="0.25">
      <c r="B131" s="5">
        <v>80</v>
      </c>
      <c r="C131" s="2">
        <f t="shared" si="0"/>
        <v>8098.0738659692288</v>
      </c>
      <c r="F131" s="2">
        <f t="shared" si="1"/>
        <v>1361.7509422085948</v>
      </c>
      <c r="I131" s="2">
        <f t="shared" si="2"/>
        <v>1715.806187182829</v>
      </c>
      <c r="L131" s="31">
        <f t="shared" si="3"/>
        <v>4319.5420762327722</v>
      </c>
      <c r="M131" s="9"/>
      <c r="N131" s="9"/>
    </row>
    <row r="132" spans="2:14" x14ac:dyDescent="0.25">
      <c r="B132" s="5">
        <v>90</v>
      </c>
      <c r="C132" s="2">
        <f t="shared" si="0"/>
        <v>9110.3330992153824</v>
      </c>
      <c r="F132" s="2">
        <f t="shared" si="1"/>
        <v>1412.3639038709025</v>
      </c>
      <c r="I132" s="2">
        <f t="shared" si="2"/>
        <v>1779.578518877337</v>
      </c>
      <c r="L132" s="31">
        <f t="shared" si="3"/>
        <v>4480.0889212736956</v>
      </c>
      <c r="M132" s="9"/>
      <c r="N132" s="9"/>
    </row>
    <row r="133" spans="2:14" x14ac:dyDescent="0.25">
      <c r="B133" s="5">
        <v>100</v>
      </c>
      <c r="C133" s="2">
        <f t="shared" si="0"/>
        <v>10122.592332461536</v>
      </c>
      <c r="F133" s="2">
        <f t="shared" si="1"/>
        <v>1462.97686553321</v>
      </c>
      <c r="I133" s="2">
        <f t="shared" si="2"/>
        <v>1843.3508505718444</v>
      </c>
      <c r="L133" s="31">
        <f t="shared" si="3"/>
        <v>4640.6357663146182</v>
      </c>
      <c r="M133" s="9"/>
      <c r="N133" s="9"/>
    </row>
    <row r="134" spans="2:14" x14ac:dyDescent="0.25">
      <c r="B134" s="5">
        <v>110</v>
      </c>
      <c r="C134" s="2">
        <f t="shared" si="0"/>
        <v>11134.85156570769</v>
      </c>
      <c r="F134" s="2">
        <f t="shared" si="1"/>
        <v>1513.5898271955177</v>
      </c>
      <c r="I134" s="2">
        <f t="shared" si="2"/>
        <v>1907.1231822663524</v>
      </c>
      <c r="L134" s="31">
        <f t="shared" si="3"/>
        <v>4801.1826113555417</v>
      </c>
      <c r="M134" s="9"/>
      <c r="N134" s="9"/>
    </row>
    <row r="135" spans="2:14" x14ac:dyDescent="0.25">
      <c r="B135" s="5">
        <v>120</v>
      </c>
      <c r="C135" s="2">
        <f t="shared" si="0"/>
        <v>12147.110798953843</v>
      </c>
      <c r="F135" s="2">
        <f t="shared" si="1"/>
        <v>1564.2027888578255</v>
      </c>
      <c r="I135" s="2">
        <f t="shared" si="2"/>
        <v>1970.8955139608597</v>
      </c>
      <c r="L135" s="31">
        <f t="shared" si="3"/>
        <v>4961.7294563964642</v>
      </c>
      <c r="M135" s="9"/>
      <c r="N135" s="9"/>
    </row>
    <row r="136" spans="2:14" x14ac:dyDescent="0.25">
      <c r="B136" s="5">
        <v>130</v>
      </c>
      <c r="C136" s="2">
        <f t="shared" si="0"/>
        <v>13159.370032199997</v>
      </c>
      <c r="F136" s="2">
        <f t="shared" si="1"/>
        <v>1614.8157505201332</v>
      </c>
      <c r="I136" s="2">
        <f t="shared" si="2"/>
        <v>2034.6678456553677</v>
      </c>
      <c r="L136" s="31">
        <f t="shared" si="3"/>
        <v>5122.2763014373886</v>
      </c>
      <c r="M136" s="9"/>
      <c r="N136" s="9"/>
    </row>
    <row r="137" spans="2:14" x14ac:dyDescent="0.25">
      <c r="B137" s="5">
        <v>140</v>
      </c>
      <c r="C137" s="2">
        <f t="shared" si="0"/>
        <v>14171.62926544615</v>
      </c>
      <c r="F137" s="2">
        <f t="shared" si="1"/>
        <v>1665.4287121824409</v>
      </c>
      <c r="I137" s="2">
        <f t="shared" si="2"/>
        <v>2098.4401773498753</v>
      </c>
      <c r="L137" s="31">
        <f t="shared" si="3"/>
        <v>5282.8231464783103</v>
      </c>
      <c r="M137" s="9"/>
      <c r="N137" s="9"/>
    </row>
    <row r="138" spans="2:14" x14ac:dyDescent="0.25">
      <c r="B138" s="5">
        <v>150</v>
      </c>
      <c r="C138" s="2">
        <f t="shared" si="0"/>
        <v>15183.888498692304</v>
      </c>
      <c r="F138" s="2">
        <f t="shared" si="1"/>
        <v>1716.0416738447486</v>
      </c>
      <c r="I138" s="2">
        <f t="shared" si="2"/>
        <v>2162.2125090443828</v>
      </c>
      <c r="L138" s="31">
        <f t="shared" si="3"/>
        <v>5443.3699915192337</v>
      </c>
      <c r="M138" s="9"/>
      <c r="N138" s="9"/>
    </row>
    <row r="139" spans="2:14" x14ac:dyDescent="0.25">
      <c r="B139" s="5">
        <v>160</v>
      </c>
      <c r="C139" s="2">
        <f t="shared" si="0"/>
        <v>16196.147731938458</v>
      </c>
      <c r="F139" s="2">
        <f t="shared" si="1"/>
        <v>1766.6546355070561</v>
      </c>
      <c r="I139" s="2">
        <f t="shared" si="2"/>
        <v>2225.9848407388904</v>
      </c>
      <c r="L139" s="31">
        <f t="shared" si="3"/>
        <v>5603.9168365601563</v>
      </c>
      <c r="M139" s="9"/>
      <c r="N139" s="9"/>
    </row>
    <row r="140" spans="2:14" x14ac:dyDescent="0.25">
      <c r="B140" s="5"/>
    </row>
    <row r="143" spans="2:14" x14ac:dyDescent="0.25">
      <c r="B143" s="187" t="s">
        <v>178</v>
      </c>
      <c r="C143" s="187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</row>
    <row r="144" spans="2:14" x14ac:dyDescent="0.25">
      <c r="B144" s="187"/>
      <c r="C144" s="187"/>
    </row>
    <row r="145" spans="2:14" x14ac:dyDescent="0.25">
      <c r="B145" s="187"/>
      <c r="C145" s="187"/>
    </row>
    <row r="146" spans="2:14" x14ac:dyDescent="0.25">
      <c r="B146" s="187"/>
      <c r="C146" s="187"/>
    </row>
    <row r="147" spans="2:14" ht="24.75" x14ac:dyDescent="0.25">
      <c r="B147" s="94" t="s">
        <v>173</v>
      </c>
      <c r="C147" s="9" t="s">
        <v>174</v>
      </c>
      <c r="D147" s="9"/>
      <c r="E147" s="9"/>
      <c r="F147" s="9" t="s">
        <v>175</v>
      </c>
      <c r="G147" s="9"/>
      <c r="H147" s="9"/>
      <c r="I147" s="9" t="s">
        <v>176</v>
      </c>
      <c r="J147" s="9"/>
      <c r="K147" s="9"/>
      <c r="L147" s="9" t="s">
        <v>177</v>
      </c>
      <c r="M147" s="9"/>
      <c r="N147" s="9"/>
    </row>
    <row r="148" spans="2:14" x14ac:dyDescent="0.25">
      <c r="B148" s="5">
        <v>40</v>
      </c>
      <c r="C148" s="2">
        <f>($K$42*(B148*21))*1.154</f>
        <v>4672.5886206642444</v>
      </c>
      <c r="F148" s="2">
        <f>(C148+$K$65)*0.05</f>
        <v>1190.4766799433455</v>
      </c>
      <c r="I148" s="2">
        <f>(C148+$K$65+F148)*6%</f>
        <v>1500.0006167286153</v>
      </c>
      <c r="L148" s="31">
        <f>(C148+$K$65+F148+I148)*14.25%</f>
        <v>3776.2515526142888</v>
      </c>
      <c r="M148" s="9"/>
      <c r="N148" s="9"/>
    </row>
    <row r="149" spans="2:14" x14ac:dyDescent="0.25">
      <c r="B149" s="5">
        <v>50</v>
      </c>
      <c r="C149" s="2">
        <f t="shared" ref="C149:C160" si="4">($K$42*(B149*21))*1.154</f>
        <v>5840.735775830306</v>
      </c>
      <c r="F149" s="2">
        <f t="shared" ref="F149:F160" si="5">(C149+$K$65)*0.05</f>
        <v>1248.8840377016486</v>
      </c>
      <c r="I149" s="2">
        <f t="shared" ref="I149:I160" si="6">(C149+$K$65+F149)*6%</f>
        <v>1573.593887504077</v>
      </c>
      <c r="L149" s="31">
        <f t="shared" ref="L149:L160" si="7">(C149+$K$65+F149+I149)*14.25%</f>
        <v>3961.5226117915136</v>
      </c>
      <c r="M149" s="9"/>
      <c r="N149" s="9"/>
    </row>
    <row r="150" spans="2:14" x14ac:dyDescent="0.25">
      <c r="B150" s="5">
        <v>60</v>
      </c>
      <c r="C150" s="2">
        <f t="shared" si="4"/>
        <v>7008.8829309963667</v>
      </c>
      <c r="F150" s="2">
        <f t="shared" si="5"/>
        <v>1307.2913954599517</v>
      </c>
      <c r="I150" s="2">
        <f t="shared" si="6"/>
        <v>1647.1871582795388</v>
      </c>
      <c r="L150" s="31">
        <f t="shared" si="7"/>
        <v>4146.7936709687392</v>
      </c>
      <c r="M150" s="9"/>
      <c r="N150" s="9"/>
    </row>
    <row r="151" spans="2:14" x14ac:dyDescent="0.25">
      <c r="B151" s="5">
        <v>70</v>
      </c>
      <c r="C151" s="2">
        <f t="shared" si="4"/>
        <v>8177.0300861624282</v>
      </c>
      <c r="F151" s="2">
        <f t="shared" si="5"/>
        <v>1365.6987532182548</v>
      </c>
      <c r="I151" s="2">
        <f t="shared" si="6"/>
        <v>1720.7804290550007</v>
      </c>
      <c r="L151" s="31">
        <f t="shared" si="7"/>
        <v>4332.0647301459639</v>
      </c>
      <c r="M151" s="9"/>
      <c r="N151" s="9"/>
    </row>
    <row r="152" spans="2:14" x14ac:dyDescent="0.25">
      <c r="B152" s="5">
        <v>80</v>
      </c>
      <c r="C152" s="2">
        <f t="shared" si="4"/>
        <v>9345.1772413284889</v>
      </c>
      <c r="F152" s="2">
        <f t="shared" si="5"/>
        <v>1424.1061109765578</v>
      </c>
      <c r="I152" s="2">
        <f t="shared" si="6"/>
        <v>1794.3736998304626</v>
      </c>
      <c r="L152" s="31">
        <f t="shared" si="7"/>
        <v>4517.3357893231896</v>
      </c>
      <c r="M152" s="9"/>
      <c r="N152" s="9"/>
    </row>
    <row r="153" spans="2:14" x14ac:dyDescent="0.25">
      <c r="B153" s="5">
        <v>90</v>
      </c>
      <c r="C153" s="2">
        <f t="shared" si="4"/>
        <v>10513.32439649455</v>
      </c>
      <c r="F153" s="2">
        <f t="shared" si="5"/>
        <v>1482.5134687348609</v>
      </c>
      <c r="I153" s="2">
        <f t="shared" si="6"/>
        <v>1867.9669706059244</v>
      </c>
      <c r="L153" s="31">
        <f t="shared" si="7"/>
        <v>4702.6068485004143</v>
      </c>
      <c r="M153" s="9"/>
      <c r="N153" s="9"/>
    </row>
    <row r="154" spans="2:14" x14ac:dyDescent="0.25">
      <c r="B154" s="5">
        <v>100</v>
      </c>
      <c r="C154" s="2">
        <f t="shared" si="4"/>
        <v>11681.471551660612</v>
      </c>
      <c r="F154" s="2">
        <f t="shared" si="5"/>
        <v>1540.920826493164</v>
      </c>
      <c r="I154" s="2">
        <f t="shared" si="6"/>
        <v>1941.5602413813863</v>
      </c>
      <c r="L154" s="31">
        <f t="shared" si="7"/>
        <v>4887.8779076776391</v>
      </c>
      <c r="M154" s="9"/>
      <c r="N154" s="9"/>
    </row>
    <row r="155" spans="2:14" x14ac:dyDescent="0.25">
      <c r="B155" s="5">
        <v>110</v>
      </c>
      <c r="C155" s="2">
        <f t="shared" si="4"/>
        <v>12849.618706826674</v>
      </c>
      <c r="F155" s="2">
        <f t="shared" si="5"/>
        <v>1599.3281842514671</v>
      </c>
      <c r="I155" s="2">
        <f t="shared" si="6"/>
        <v>2015.1535121568484</v>
      </c>
      <c r="L155" s="31">
        <f t="shared" si="7"/>
        <v>5073.1489668548647</v>
      </c>
      <c r="M155" s="9"/>
      <c r="N155" s="9"/>
    </row>
    <row r="156" spans="2:14" x14ac:dyDescent="0.25">
      <c r="B156" s="5">
        <v>120</v>
      </c>
      <c r="C156" s="2">
        <f t="shared" si="4"/>
        <v>14017.765861992733</v>
      </c>
      <c r="F156" s="2">
        <f t="shared" si="5"/>
        <v>1657.7355420097699</v>
      </c>
      <c r="I156" s="2">
        <f t="shared" si="6"/>
        <v>2088.7467829323095</v>
      </c>
      <c r="L156" s="31">
        <f t="shared" si="7"/>
        <v>5258.4200260320886</v>
      </c>
      <c r="M156" s="9"/>
      <c r="N156" s="9"/>
    </row>
    <row r="157" spans="2:14" x14ac:dyDescent="0.25">
      <c r="B157" s="5">
        <v>130</v>
      </c>
      <c r="C157" s="2">
        <f t="shared" si="4"/>
        <v>15185.913017158795</v>
      </c>
      <c r="F157" s="2">
        <f t="shared" si="5"/>
        <v>1716.1428997680732</v>
      </c>
      <c r="I157" s="2">
        <f t="shared" si="6"/>
        <v>2162.3400537077719</v>
      </c>
      <c r="L157" s="31">
        <f t="shared" si="7"/>
        <v>5443.6910852093151</v>
      </c>
      <c r="M157" s="9"/>
      <c r="N157" s="9"/>
    </row>
    <row r="158" spans="2:14" x14ac:dyDescent="0.25">
      <c r="B158" s="5">
        <v>140</v>
      </c>
      <c r="C158" s="2">
        <f t="shared" si="4"/>
        <v>16354.060172324856</v>
      </c>
      <c r="F158" s="2">
        <f t="shared" si="5"/>
        <v>1774.5502575263761</v>
      </c>
      <c r="I158" s="2">
        <f t="shared" si="6"/>
        <v>2235.9333244832337</v>
      </c>
      <c r="L158" s="31">
        <f t="shared" si="7"/>
        <v>5628.9621443865399</v>
      </c>
      <c r="M158" s="9"/>
      <c r="N158" s="9"/>
    </row>
    <row r="159" spans="2:14" x14ac:dyDescent="0.25">
      <c r="B159" s="5">
        <v>150</v>
      </c>
      <c r="C159" s="2">
        <f t="shared" si="4"/>
        <v>17522.207327490916</v>
      </c>
      <c r="F159" s="2">
        <f t="shared" si="5"/>
        <v>1832.9576152846794</v>
      </c>
      <c r="I159" s="2">
        <f t="shared" si="6"/>
        <v>2309.5265952586956</v>
      </c>
      <c r="L159" s="31">
        <f t="shared" si="7"/>
        <v>5814.2332035637655</v>
      </c>
      <c r="M159" s="9"/>
      <c r="N159" s="9"/>
    </row>
    <row r="160" spans="2:14" x14ac:dyDescent="0.25">
      <c r="B160" s="5">
        <v>160</v>
      </c>
      <c r="C160" s="2">
        <f t="shared" si="4"/>
        <v>18690.354482656978</v>
      </c>
      <c r="F160" s="2">
        <f t="shared" si="5"/>
        <v>1891.3649730429822</v>
      </c>
      <c r="I160" s="2">
        <f t="shared" si="6"/>
        <v>2383.1198660341574</v>
      </c>
      <c r="L160" s="31">
        <f t="shared" si="7"/>
        <v>5999.5042627409903</v>
      </c>
      <c r="M160" s="9"/>
      <c r="N160" s="9"/>
    </row>
  </sheetData>
  <mergeCells count="121">
    <mergeCell ref="B116:D116"/>
    <mergeCell ref="F116:G116"/>
    <mergeCell ref="L116:N116"/>
    <mergeCell ref="P116:Q116"/>
    <mergeCell ref="B122:C125"/>
    <mergeCell ref="B143:C146"/>
    <mergeCell ref="B113:D113"/>
    <mergeCell ref="L113:N113"/>
    <mergeCell ref="B114:D114"/>
    <mergeCell ref="L114:N114"/>
    <mergeCell ref="B115:C115"/>
    <mergeCell ref="L115:M115"/>
    <mergeCell ref="L109:M109"/>
    <mergeCell ref="P109:Q109"/>
    <mergeCell ref="F110:G110"/>
    <mergeCell ref="P110:Q110"/>
    <mergeCell ref="B112:D112"/>
    <mergeCell ref="F112:G112"/>
    <mergeCell ref="L112:N112"/>
    <mergeCell ref="P112:Q112"/>
    <mergeCell ref="B101:D101"/>
    <mergeCell ref="B102:D102"/>
    <mergeCell ref="B103:C103"/>
    <mergeCell ref="B104:D104"/>
    <mergeCell ref="F104:G104"/>
    <mergeCell ref="B109:C109"/>
    <mergeCell ref="F109:G109"/>
    <mergeCell ref="D95:E95"/>
    <mergeCell ref="B97:C97"/>
    <mergeCell ref="F97:G97"/>
    <mergeCell ref="F98:G98"/>
    <mergeCell ref="B100:D100"/>
    <mergeCell ref="F100:G100"/>
    <mergeCell ref="A79:J79"/>
    <mergeCell ref="A82:I82"/>
    <mergeCell ref="A84:H84"/>
    <mergeCell ref="A85:J85"/>
    <mergeCell ref="A89:J89"/>
    <mergeCell ref="A90:J90"/>
    <mergeCell ref="A74:E74"/>
    <mergeCell ref="A75:F75"/>
    <mergeCell ref="I75:J75"/>
    <mergeCell ref="I76:J76"/>
    <mergeCell ref="I77:J77"/>
    <mergeCell ref="I78:J78"/>
    <mergeCell ref="A65:J65"/>
    <mergeCell ref="A67:I67"/>
    <mergeCell ref="A69:E69"/>
    <mergeCell ref="I69:J69"/>
    <mergeCell ref="C70:F70"/>
    <mergeCell ref="C71:F71"/>
    <mergeCell ref="C54:F54"/>
    <mergeCell ref="C55:F55"/>
    <mergeCell ref="C58:F58"/>
    <mergeCell ref="C60:G60"/>
    <mergeCell ref="C62:E62"/>
    <mergeCell ref="C63:F63"/>
    <mergeCell ref="A49:E49"/>
    <mergeCell ref="H50:I50"/>
    <mergeCell ref="C51:F51"/>
    <mergeCell ref="H51:I51"/>
    <mergeCell ref="C52:F52"/>
    <mergeCell ref="C53:F53"/>
    <mergeCell ref="B41:D41"/>
    <mergeCell ref="F41:H41"/>
    <mergeCell ref="A42:E42"/>
    <mergeCell ref="A43:J43"/>
    <mergeCell ref="A45:J45"/>
    <mergeCell ref="A47:J47"/>
    <mergeCell ref="A36:E36"/>
    <mergeCell ref="B37:D37"/>
    <mergeCell ref="E37:F37"/>
    <mergeCell ref="B38:D38"/>
    <mergeCell ref="B39:D39"/>
    <mergeCell ref="B40:D40"/>
    <mergeCell ref="A28:D28"/>
    <mergeCell ref="E28:F28"/>
    <mergeCell ref="A31:F31"/>
    <mergeCell ref="A32:D32"/>
    <mergeCell ref="E32:F32"/>
    <mergeCell ref="A33:D33"/>
    <mergeCell ref="A25:D25"/>
    <mergeCell ref="E25:F25"/>
    <mergeCell ref="A26:D26"/>
    <mergeCell ref="E26:F26"/>
    <mergeCell ref="A27:D27"/>
    <mergeCell ref="E27:F27"/>
    <mergeCell ref="K18:N18"/>
    <mergeCell ref="A19:F19"/>
    <mergeCell ref="A20:F20"/>
    <mergeCell ref="A23:F23"/>
    <mergeCell ref="A24:D24"/>
    <mergeCell ref="E24:F24"/>
    <mergeCell ref="A16:D16"/>
    <mergeCell ref="E16:F16"/>
    <mergeCell ref="K16:N17"/>
    <mergeCell ref="G22:P23"/>
    <mergeCell ref="O16:O17"/>
    <mergeCell ref="P16:P17"/>
    <mergeCell ref="C2:F6"/>
    <mergeCell ref="H3:P5"/>
    <mergeCell ref="F7:H7"/>
    <mergeCell ref="K7:N7"/>
    <mergeCell ref="B8:C8"/>
    <mergeCell ref="I9:P9"/>
    <mergeCell ref="T17:V17"/>
    <mergeCell ref="A14:D14"/>
    <mergeCell ref="E14:F14"/>
    <mergeCell ref="K14:N15"/>
    <mergeCell ref="O14:O15"/>
    <mergeCell ref="P14:P15"/>
    <mergeCell ref="E15:F15"/>
    <mergeCell ref="A11:F11"/>
    <mergeCell ref="K11:N11"/>
    <mergeCell ref="A12:C12"/>
    <mergeCell ref="E12:F12"/>
    <mergeCell ref="K12:N12"/>
    <mergeCell ref="A13:D13"/>
    <mergeCell ref="E13:F13"/>
    <mergeCell ref="K13:N13"/>
    <mergeCell ref="A9:F9"/>
  </mergeCells>
  <conditionalFormatting sqref="P19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{561C4796-151E-473C-869B-853E0BF26616}</x14:id>
        </ext>
      </extLst>
    </cfRule>
  </conditionalFormatting>
  <dataValidations disablePrompts="1" count="3">
    <dataValidation type="list" allowBlank="1" showInputMessage="1" showErrorMessage="1" sqref="E15:F15">
      <formula1>"0,1,2,3,4,5,6,7,8,9,10,11,12,13,14,15"</formula1>
    </dataValidation>
    <dataValidation type="list" allowBlank="1" showInputMessage="1" showErrorMessage="1" sqref="L51">
      <formula1>"LINEAR, MÉTODO COLE"</formula1>
    </dataValidation>
    <dataValidation type="list" allowBlank="1" showInputMessage="1" showErrorMessage="1" sqref="F7:H7 T17:V17">
      <formula1>$Q$119:$Q$122</formula1>
    </dataValidation>
  </dataValidations>
  <pageMargins left="0.51181102362204722" right="0.51181102362204722" top="0.78740157480314965" bottom="0.78740157480314965" header="0.31496062992125984" footer="0.31496062992125984"/>
  <pageSetup paperSize="9" scale="50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61C4796-151E-473C-869B-853E0BF2661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P19</xm:sqref>
        </x14:conditionalFormatting>
      </x14:conditionalFormattings>
    </ext>
  </extLst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61">
    <tabColor rgb="FF00B0F0"/>
  </sheetPr>
  <dimension ref="A2:V160"/>
  <sheetViews>
    <sheetView tabSelected="1" view="pageBreakPreview" topLeftCell="A39" zoomScale="85" zoomScaleNormal="100" zoomScaleSheetLayoutView="85" workbookViewId="0">
      <selection activeCell="A57" sqref="A57"/>
    </sheetView>
  </sheetViews>
  <sheetFormatPr defaultColWidth="8.85546875" defaultRowHeight="15" x14ac:dyDescent="0.25"/>
  <cols>
    <col min="2" max="2" width="14.140625" customWidth="1"/>
    <col min="3" max="3" width="15.28515625" customWidth="1"/>
    <col min="5" max="5" width="12.42578125" customWidth="1"/>
    <col min="6" max="6" width="13.5703125" customWidth="1"/>
    <col min="7" max="7" width="12.140625" customWidth="1"/>
    <col min="9" max="9" width="10.7109375" customWidth="1"/>
    <col min="10" max="10" width="12.140625" bestFit="1" customWidth="1"/>
    <col min="11" max="11" width="16.42578125" bestFit="1" customWidth="1"/>
    <col min="12" max="12" width="14.42578125" customWidth="1"/>
    <col min="14" max="14" width="6.42578125" customWidth="1"/>
    <col min="15" max="15" width="9" customWidth="1"/>
    <col min="16" max="16" width="10.42578125" customWidth="1"/>
    <col min="17" max="17" width="15.140625" customWidth="1"/>
    <col min="18" max="18" width="14.7109375" bestFit="1" customWidth="1"/>
    <col min="19" max="19" width="19.42578125" bestFit="1" customWidth="1"/>
  </cols>
  <sheetData>
    <row r="2" spans="1:19" x14ac:dyDescent="0.25">
      <c r="C2" s="239" t="s">
        <v>151</v>
      </c>
      <c r="D2" s="240"/>
      <c r="E2" s="240"/>
      <c r="F2" s="240"/>
    </row>
    <row r="3" spans="1:19" x14ac:dyDescent="0.25">
      <c r="C3" s="240"/>
      <c r="D3" s="240"/>
      <c r="E3" s="240"/>
      <c r="F3" s="240"/>
      <c r="H3" s="241" t="s">
        <v>64</v>
      </c>
      <c r="I3" s="239"/>
      <c r="J3" s="239"/>
      <c r="K3" s="239"/>
      <c r="L3" s="239"/>
      <c r="M3" s="239"/>
      <c r="N3" s="239"/>
      <c r="O3" s="239"/>
      <c r="P3" s="239"/>
    </row>
    <row r="4" spans="1:19" x14ac:dyDescent="0.25">
      <c r="C4" s="240"/>
      <c r="D4" s="240"/>
      <c r="E4" s="240"/>
      <c r="F4" s="240"/>
      <c r="H4" s="239"/>
      <c r="I4" s="239"/>
      <c r="J4" s="239"/>
      <c r="K4" s="239"/>
      <c r="L4" s="239"/>
      <c r="M4" s="239"/>
      <c r="N4" s="239"/>
      <c r="O4" s="239"/>
      <c r="P4" s="239"/>
    </row>
    <row r="5" spans="1:19" x14ac:dyDescent="0.25">
      <c r="C5" s="240"/>
      <c r="D5" s="240"/>
      <c r="E5" s="240"/>
      <c r="F5" s="240"/>
      <c r="H5" s="239"/>
      <c r="I5" s="239"/>
      <c r="J5" s="239"/>
      <c r="K5" s="239"/>
      <c r="L5" s="239"/>
      <c r="M5" s="239"/>
      <c r="N5" s="239"/>
      <c r="O5" s="239"/>
      <c r="P5" s="239"/>
    </row>
    <row r="6" spans="1:19" x14ac:dyDescent="0.25">
      <c r="C6" s="240"/>
      <c r="D6" s="240"/>
      <c r="E6" s="240"/>
      <c r="F6" s="240"/>
    </row>
    <row r="7" spans="1:19" ht="21" x14ac:dyDescent="0.35">
      <c r="E7" s="18" t="s">
        <v>80</v>
      </c>
      <c r="F7" s="235" t="s">
        <v>65</v>
      </c>
      <c r="G7" s="235"/>
      <c r="H7" s="235"/>
      <c r="K7" s="242" t="s">
        <v>286</v>
      </c>
      <c r="L7" s="243"/>
      <c r="M7" s="243"/>
      <c r="N7" s="243"/>
    </row>
    <row r="8" spans="1:19" ht="15.75" x14ac:dyDescent="0.25">
      <c r="B8" s="194"/>
      <c r="C8" s="194"/>
      <c r="D8" s="8"/>
      <c r="E8" s="8"/>
      <c r="F8" s="8"/>
      <c r="J8" s="9"/>
    </row>
    <row r="9" spans="1:19" ht="21" x14ac:dyDescent="0.35">
      <c r="A9" s="235" t="s">
        <v>352</v>
      </c>
      <c r="B9" s="235"/>
      <c r="C9" s="235"/>
      <c r="D9" s="235"/>
      <c r="E9" s="235"/>
      <c r="F9" s="235"/>
      <c r="I9" s="244" t="s">
        <v>157</v>
      </c>
      <c r="J9" s="244"/>
      <c r="K9" s="244"/>
      <c r="L9" s="244"/>
      <c r="M9" s="244"/>
      <c r="N9" s="244"/>
      <c r="O9" s="244"/>
      <c r="P9" s="244"/>
      <c r="R9" s="9" t="s">
        <v>155</v>
      </c>
      <c r="S9" s="9" t="s">
        <v>156</v>
      </c>
    </row>
    <row r="10" spans="1:19" x14ac:dyDescent="0.25">
      <c r="R10" s="2">
        <f>K43</f>
        <v>212.57443898169228</v>
      </c>
      <c r="S10" s="43">
        <f>K45</f>
        <v>4289.096234667406</v>
      </c>
    </row>
    <row r="11" spans="1:19" ht="17.25" x14ac:dyDescent="0.3">
      <c r="A11" s="236" t="s">
        <v>150</v>
      </c>
      <c r="B11" s="237"/>
      <c r="C11" s="237"/>
      <c r="D11" s="237"/>
      <c r="E11" s="237"/>
      <c r="F11" s="238"/>
      <c r="G11" s="40" t="s">
        <v>0</v>
      </c>
      <c r="K11" s="206" t="s">
        <v>15</v>
      </c>
      <c r="L11" s="206"/>
      <c r="M11" s="206"/>
      <c r="N11" s="206"/>
      <c r="O11" s="46">
        <f>O12+O13</f>
        <v>38.9</v>
      </c>
      <c r="P11" s="47" t="s">
        <v>14</v>
      </c>
      <c r="R11" s="130">
        <f>K65/O18*O14</f>
        <v>1033.0998574351054</v>
      </c>
      <c r="S11" s="130">
        <f>K65/O18*O16</f>
        <v>18103.845120767557</v>
      </c>
    </row>
    <row r="12" spans="1:19" ht="15.75" x14ac:dyDescent="0.25">
      <c r="A12" s="214" t="s">
        <v>107</v>
      </c>
      <c r="B12" s="215"/>
      <c r="C12" s="215"/>
      <c r="D12" s="48"/>
      <c r="E12" s="218">
        <f>Insumos!$B$4</f>
        <v>531068.38</v>
      </c>
      <c r="F12" s="218"/>
      <c r="G12" s="1"/>
      <c r="K12" s="206" t="s">
        <v>136</v>
      </c>
      <c r="L12" s="206"/>
      <c r="M12" s="206"/>
      <c r="N12" s="206"/>
      <c r="O12" s="150">
        <v>2.1</v>
      </c>
      <c r="P12" s="47" t="s">
        <v>14</v>
      </c>
      <c r="R12" s="2">
        <f>K72/O18*O14</f>
        <v>86.347426937801671</v>
      </c>
      <c r="S12" s="2">
        <f>K72/O18*O16</f>
        <v>1513.1358625290959</v>
      </c>
    </row>
    <row r="13" spans="1:19" ht="15.75" x14ac:dyDescent="0.25">
      <c r="A13" s="214" t="s">
        <v>285</v>
      </c>
      <c r="B13" s="215"/>
      <c r="C13" s="215"/>
      <c r="D13" s="216"/>
      <c r="E13" s="198">
        <f>'DEPRECIAÇÃO LINEAR'!D15</f>
        <v>10</v>
      </c>
      <c r="F13" s="198"/>
      <c r="K13" s="206" t="s">
        <v>137</v>
      </c>
      <c r="L13" s="206"/>
      <c r="M13" s="206"/>
      <c r="N13" s="206"/>
      <c r="O13" s="150">
        <v>36.799999999999997</v>
      </c>
      <c r="P13" s="47" t="s">
        <v>14</v>
      </c>
      <c r="R13" s="2">
        <f>K79/O18*O14</f>
        <v>129.01312285696093</v>
      </c>
      <c r="S13" s="2">
        <f>K79/O18*O16</f>
        <v>2260.8013910172199</v>
      </c>
    </row>
    <row r="14" spans="1:19" ht="15" customHeight="1" x14ac:dyDescent="0.25">
      <c r="A14" s="214" t="s">
        <v>23</v>
      </c>
      <c r="B14" s="215"/>
      <c r="C14" s="215"/>
      <c r="D14" s="216"/>
      <c r="E14" s="219">
        <v>2026</v>
      </c>
      <c r="F14" s="220"/>
      <c r="K14" s="223" t="s">
        <v>138</v>
      </c>
      <c r="L14" s="223"/>
      <c r="M14" s="223"/>
      <c r="N14" s="223"/>
      <c r="O14" s="232">
        <f>O12*21</f>
        <v>44.1</v>
      </c>
      <c r="P14" s="234" t="s">
        <v>14</v>
      </c>
      <c r="R14" s="2">
        <f>SUM(R10:R13)</f>
        <v>1461.0348462115603</v>
      </c>
      <c r="S14" s="2">
        <f>SUM(S10:S13)</f>
        <v>26166.878608981278</v>
      </c>
    </row>
    <row r="15" spans="1:19" ht="15.75" customHeight="1" x14ac:dyDescent="0.25">
      <c r="A15" s="49" t="s">
        <v>79</v>
      </c>
      <c r="B15" s="48"/>
      <c r="C15" s="48"/>
      <c r="D15" s="48"/>
      <c r="E15" s="198">
        <v>0</v>
      </c>
      <c r="F15" s="198"/>
      <c r="G15" s="41" t="s">
        <v>128</v>
      </c>
      <c r="I15" s="28"/>
      <c r="J15" s="28"/>
      <c r="K15" s="223"/>
      <c r="L15" s="223"/>
      <c r="M15" s="223"/>
      <c r="N15" s="223"/>
      <c r="O15" s="233"/>
      <c r="P15" s="234"/>
      <c r="R15" s="31">
        <f>IFERROR(R14/O14,0)</f>
        <v>33.130041864207719</v>
      </c>
      <c r="S15" s="31">
        <f>IFERROR(S14/O16,0)</f>
        <v>33.859832568557557</v>
      </c>
    </row>
    <row r="16" spans="1:19" ht="15" customHeight="1" x14ac:dyDescent="0.25">
      <c r="A16" s="214" t="s">
        <v>84</v>
      </c>
      <c r="B16" s="215"/>
      <c r="C16" s="215"/>
      <c r="D16" s="215"/>
      <c r="E16" s="198" t="str">
        <f>IF($F$7=$D$95,F104,IF($F$7=$D$107,F116,IF($F$7=$N$95,Q104,IF($F$7=$O$107,P116,""))))</f>
        <v>ATÉ 59 ALUNOS</v>
      </c>
      <c r="F16" s="198"/>
      <c r="I16" s="28"/>
      <c r="J16" s="28"/>
      <c r="K16" s="223" t="s">
        <v>139</v>
      </c>
      <c r="L16" s="223"/>
      <c r="M16" s="223"/>
      <c r="N16" s="223"/>
      <c r="O16" s="232">
        <f>O13*21</f>
        <v>772.8</v>
      </c>
      <c r="P16" s="234" t="s">
        <v>14</v>
      </c>
    </row>
    <row r="17" spans="1:22" ht="15" customHeight="1" x14ac:dyDescent="0.35">
      <c r="I17" s="28"/>
      <c r="J17" s="28"/>
      <c r="K17" s="223"/>
      <c r="L17" s="223"/>
      <c r="M17" s="223"/>
      <c r="N17" s="223"/>
      <c r="O17" s="233"/>
      <c r="P17" s="234"/>
      <c r="R17" s="2">
        <f>R14+S14</f>
        <v>27627.91345519284</v>
      </c>
      <c r="T17" s="235"/>
      <c r="U17" s="235"/>
      <c r="V17" s="235"/>
    </row>
    <row r="18" spans="1:22" ht="15" customHeight="1" x14ac:dyDescent="0.25">
      <c r="I18" s="28"/>
      <c r="J18" s="28"/>
      <c r="K18" s="223" t="s">
        <v>140</v>
      </c>
      <c r="L18" s="223"/>
      <c r="M18" s="223"/>
      <c r="N18" s="223"/>
      <c r="O18" s="46">
        <f>O16+O14</f>
        <v>816.9</v>
      </c>
      <c r="P18" s="47" t="s">
        <v>14</v>
      </c>
      <c r="R18" s="2">
        <f>R17/O18</f>
        <v>33.820435126934555</v>
      </c>
    </row>
    <row r="19" spans="1:22" ht="15.75" customHeight="1" x14ac:dyDescent="0.3">
      <c r="A19" s="224" t="s">
        <v>1</v>
      </c>
      <c r="B19" s="225"/>
      <c r="C19" s="225"/>
      <c r="D19" s="225"/>
      <c r="E19" s="225"/>
      <c r="F19" s="225"/>
      <c r="I19" s="29"/>
      <c r="J19" s="29"/>
      <c r="K19" s="29"/>
      <c r="L19" s="29"/>
      <c r="M19" s="29"/>
    </row>
    <row r="20" spans="1:22" ht="15" customHeight="1" thickBot="1" x14ac:dyDescent="0.3">
      <c r="A20" s="206" t="s">
        <v>106</v>
      </c>
      <c r="B20" s="206"/>
      <c r="C20" s="206"/>
      <c r="D20" s="206"/>
      <c r="E20" s="206"/>
      <c r="F20" s="206"/>
      <c r="I20" s="28"/>
      <c r="J20" s="28"/>
      <c r="K20" s="28"/>
      <c r="L20" s="28"/>
      <c r="M20" s="28"/>
      <c r="O20" s="93">
        <f>K90</f>
        <v>33.820435126934555</v>
      </c>
      <c r="R20" s="93">
        <f>K90</f>
        <v>33.820435126934555</v>
      </c>
    </row>
    <row r="21" spans="1:22" x14ac:dyDescent="0.25">
      <c r="H21" s="285" t="s">
        <v>313</v>
      </c>
      <c r="I21" s="286"/>
      <c r="J21" s="286"/>
      <c r="K21" s="286"/>
      <c r="L21" s="286"/>
      <c r="M21" s="286"/>
      <c r="N21" s="286"/>
      <c r="O21" s="287"/>
    </row>
    <row r="22" spans="1:22" ht="15.75" thickBot="1" x14ac:dyDescent="0.3">
      <c r="H22" s="288"/>
      <c r="I22" s="289"/>
      <c r="J22" s="289"/>
      <c r="K22" s="289"/>
      <c r="L22" s="289"/>
      <c r="M22" s="289"/>
      <c r="N22" s="289"/>
      <c r="O22" s="290"/>
    </row>
    <row r="23" spans="1:22" ht="17.25" x14ac:dyDescent="0.3">
      <c r="A23" s="224" t="s">
        <v>2</v>
      </c>
      <c r="B23" s="225"/>
      <c r="C23" s="225"/>
      <c r="D23" s="225"/>
      <c r="E23" s="225"/>
      <c r="F23" s="225"/>
      <c r="L23" s="2"/>
    </row>
    <row r="24" spans="1:22" ht="15.75" x14ac:dyDescent="0.25">
      <c r="A24" s="214" t="s">
        <v>11</v>
      </c>
      <c r="B24" s="215"/>
      <c r="C24" s="215"/>
      <c r="D24" s="215"/>
      <c r="E24" s="198">
        <f>IF($F$7=$D$95,F100,IF($F$7=$D$107,F112,IF($F$7=$N$95,Q100,IF($F$7=$O$107,P112,""))))</f>
        <v>6</v>
      </c>
      <c r="F24" s="198"/>
    </row>
    <row r="25" spans="1:22" ht="15.75" x14ac:dyDescent="0.25">
      <c r="A25" s="214" t="s">
        <v>9</v>
      </c>
      <c r="B25" s="215"/>
      <c r="C25" s="215"/>
      <c r="D25" s="216"/>
      <c r="E25" s="218">
        <f>Insumos!$B$5</f>
        <v>2453.2399999999998</v>
      </c>
      <c r="F25" s="218"/>
    </row>
    <row r="26" spans="1:22" ht="15.75" x14ac:dyDescent="0.25">
      <c r="A26" s="214" t="s">
        <v>147</v>
      </c>
      <c r="B26" s="215"/>
      <c r="C26" s="215"/>
      <c r="D26" s="216"/>
      <c r="E26" s="219">
        <v>2</v>
      </c>
      <c r="F26" s="220"/>
    </row>
    <row r="27" spans="1:22" ht="15.75" x14ac:dyDescent="0.25">
      <c r="A27" s="214" t="s">
        <v>148</v>
      </c>
      <c r="B27" s="215"/>
      <c r="C27" s="215"/>
      <c r="D27" s="216"/>
      <c r="E27" s="221">
        <f>Insumos!$B$6</f>
        <v>975.83</v>
      </c>
      <c r="F27" s="222"/>
    </row>
    <row r="28" spans="1:22" ht="15.75" x14ac:dyDescent="0.25">
      <c r="A28" s="214" t="s">
        <v>149</v>
      </c>
      <c r="B28" s="215"/>
      <c r="C28" s="215"/>
      <c r="D28" s="216"/>
      <c r="E28" s="217">
        <v>100000</v>
      </c>
      <c r="F28" s="217"/>
    </row>
    <row r="31" spans="1:22" ht="15.75" x14ac:dyDescent="0.25">
      <c r="A31" s="191" t="s">
        <v>3</v>
      </c>
      <c r="B31" s="192"/>
      <c r="C31" s="192"/>
      <c r="D31" s="192"/>
      <c r="E31" s="192"/>
      <c r="F31" s="192"/>
    </row>
    <row r="32" spans="1:22" ht="15.75" x14ac:dyDescent="0.25">
      <c r="A32" s="214" t="s">
        <v>19</v>
      </c>
      <c r="B32" s="215"/>
      <c r="C32" s="215"/>
      <c r="D32" s="216"/>
      <c r="E32" s="218">
        <f>Insumos!$B$7</f>
        <v>7.6</v>
      </c>
      <c r="F32" s="218"/>
    </row>
    <row r="33" spans="1:14" ht="15.75" x14ac:dyDescent="0.25">
      <c r="A33" s="214" t="s">
        <v>17</v>
      </c>
      <c r="B33" s="215"/>
      <c r="C33" s="215"/>
      <c r="D33" s="216"/>
      <c r="E33" s="46">
        <f>IF($F$7=$D$95,G103,IF($F$7=$D$107,G115,IF($F$7=$N$95,Q103,IF($F$7=$O$107,Q115,""))))</f>
        <v>2.6</v>
      </c>
      <c r="F33" s="50" t="s">
        <v>18</v>
      </c>
    </row>
    <row r="36" spans="1:14" ht="17.25" x14ac:dyDescent="0.3">
      <c r="A36" s="208" t="s">
        <v>20</v>
      </c>
      <c r="B36" s="209"/>
      <c r="C36" s="209"/>
      <c r="D36" s="209"/>
      <c r="E36" s="209"/>
    </row>
    <row r="37" spans="1:14" x14ac:dyDescent="0.25">
      <c r="B37" s="210"/>
      <c r="C37" s="210"/>
      <c r="D37" s="211"/>
      <c r="E37" s="212" t="s">
        <v>4</v>
      </c>
      <c r="F37" s="213"/>
    </row>
    <row r="38" spans="1:14" ht="15.75" x14ac:dyDescent="0.25">
      <c r="A38" s="46" t="s">
        <v>346</v>
      </c>
      <c r="B38" s="214" t="s">
        <v>52</v>
      </c>
      <c r="C38" s="215"/>
      <c r="D38" s="216"/>
      <c r="E38" s="46">
        <f>1/E33</f>
        <v>0.38461538461538458</v>
      </c>
      <c r="F38" s="7" t="s">
        <v>5</v>
      </c>
      <c r="G38" s="7"/>
      <c r="H38" s="7"/>
      <c r="I38" s="7"/>
      <c r="J38" s="7"/>
      <c r="K38" s="58">
        <f>E32*E38</f>
        <v>2.9230769230769225</v>
      </c>
      <c r="L38" s="51" t="s">
        <v>13</v>
      </c>
      <c r="N38" s="2"/>
    </row>
    <row r="39" spans="1:14" ht="15.75" x14ac:dyDescent="0.25">
      <c r="A39" s="46" t="s">
        <v>6</v>
      </c>
      <c r="B39" s="206" t="s">
        <v>152</v>
      </c>
      <c r="C39" s="206"/>
      <c r="D39" s="206"/>
      <c r="E39" s="46">
        <v>0.04</v>
      </c>
      <c r="F39" s="7" t="s">
        <v>5</v>
      </c>
      <c r="G39" s="7"/>
      <c r="H39" s="7"/>
      <c r="I39" s="7"/>
      <c r="J39" s="7"/>
      <c r="K39" s="58">
        <f>E39*E32</f>
        <v>0.30399999999999999</v>
      </c>
      <c r="L39" s="51" t="s">
        <v>13</v>
      </c>
    </row>
    <row r="40" spans="1:14" ht="15.75" x14ac:dyDescent="0.25">
      <c r="A40" s="46" t="s">
        <v>7</v>
      </c>
      <c r="B40" s="206" t="s">
        <v>8</v>
      </c>
      <c r="C40" s="206"/>
      <c r="D40" s="206"/>
      <c r="E40" s="46"/>
      <c r="F40" s="7"/>
      <c r="G40" s="7"/>
      <c r="H40" s="7"/>
      <c r="I40" s="7"/>
      <c r="J40" s="7"/>
      <c r="K40" s="58">
        <f>((E25*E24)+(E26*E24*E27))/E28</f>
        <v>0.26429400000000003</v>
      </c>
      <c r="L40" s="51" t="s">
        <v>13</v>
      </c>
    </row>
    <row r="41" spans="1:14" ht="15.75" x14ac:dyDescent="0.25">
      <c r="A41" s="46" t="s">
        <v>12</v>
      </c>
      <c r="B41" s="206" t="s">
        <v>153</v>
      </c>
      <c r="C41" s="206"/>
      <c r="D41" s="206"/>
      <c r="E41" s="70">
        <v>3.0000000000000001E-6</v>
      </c>
      <c r="F41" s="193" t="s">
        <v>10</v>
      </c>
      <c r="G41" s="193"/>
      <c r="H41" s="193"/>
      <c r="I41" s="7"/>
      <c r="J41" s="7"/>
      <c r="K41" s="58">
        <f>(E41*E12)-(K40)</f>
        <v>1.32891114</v>
      </c>
      <c r="L41" s="51" t="s">
        <v>13</v>
      </c>
    </row>
    <row r="42" spans="1:14" ht="15.75" x14ac:dyDescent="0.25">
      <c r="A42" s="207"/>
      <c r="B42" s="207"/>
      <c r="C42" s="207"/>
      <c r="D42" s="207"/>
      <c r="E42" s="207"/>
      <c r="F42" s="7"/>
      <c r="G42" s="7"/>
      <c r="H42" s="7"/>
      <c r="I42" s="7"/>
      <c r="J42" s="7"/>
      <c r="K42" s="58">
        <f>SUM(K38:K41)</f>
        <v>4.8202820630769221</v>
      </c>
      <c r="L42" s="51" t="s">
        <v>13</v>
      </c>
    </row>
    <row r="43" spans="1:14" ht="21" customHeight="1" x14ac:dyDescent="0.25">
      <c r="A43" s="200" t="s">
        <v>144</v>
      </c>
      <c r="B43" s="200"/>
      <c r="C43" s="200"/>
      <c r="D43" s="200"/>
      <c r="E43" s="200"/>
      <c r="F43" s="200"/>
      <c r="G43" s="200"/>
      <c r="H43" s="200"/>
      <c r="I43" s="200"/>
      <c r="J43" s="200"/>
      <c r="K43" s="68">
        <f>K42*O14</f>
        <v>212.57443898169228</v>
      </c>
      <c r="L43" s="52" t="s">
        <v>16</v>
      </c>
    </row>
    <row r="45" spans="1:14" ht="18.75" x14ac:dyDescent="0.3">
      <c r="A45" s="190" t="s">
        <v>145</v>
      </c>
      <c r="B45" s="190"/>
      <c r="C45" s="190"/>
      <c r="D45" s="190"/>
      <c r="E45" s="190"/>
      <c r="F45" s="190"/>
      <c r="G45" s="190"/>
      <c r="H45" s="190"/>
      <c r="I45" s="190"/>
      <c r="J45" s="190"/>
      <c r="K45" s="65">
        <f>K42*O16*1.1514</f>
        <v>4289.096234667406</v>
      </c>
      <c r="L45" s="53" t="s">
        <v>16</v>
      </c>
    </row>
    <row r="46" spans="1:14" ht="15.75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</row>
    <row r="47" spans="1:14" ht="18.75" x14ac:dyDescent="0.3">
      <c r="A47" s="190" t="s">
        <v>146</v>
      </c>
      <c r="B47" s="190"/>
      <c r="C47" s="190"/>
      <c r="D47" s="190"/>
      <c r="E47" s="190"/>
      <c r="F47" s="190"/>
      <c r="G47" s="190"/>
      <c r="H47" s="190"/>
      <c r="I47" s="190"/>
      <c r="J47" s="190"/>
      <c r="K47" s="65">
        <f>K43+K45</f>
        <v>4501.6706736490978</v>
      </c>
      <c r="L47" s="54" t="s">
        <v>16</v>
      </c>
    </row>
    <row r="49" spans="1:12" ht="15.75" x14ac:dyDescent="0.25">
      <c r="A49" s="197" t="s">
        <v>21</v>
      </c>
      <c r="B49" s="204"/>
      <c r="C49" s="204"/>
      <c r="D49" s="204"/>
      <c r="E49" s="204"/>
      <c r="F49" s="7"/>
      <c r="G49" s="7"/>
      <c r="H49" s="7"/>
      <c r="I49" s="7"/>
      <c r="J49" s="7"/>
      <c r="K49" s="7"/>
      <c r="L49" s="7"/>
    </row>
    <row r="50" spans="1:12" ht="15.75" x14ac:dyDescent="0.25">
      <c r="A50" s="3"/>
      <c r="B50" s="45"/>
      <c r="C50" s="45"/>
      <c r="D50" s="45"/>
      <c r="E50" s="45"/>
      <c r="F50" s="7"/>
      <c r="G50" s="7"/>
      <c r="H50" s="205" t="s">
        <v>25</v>
      </c>
      <c r="I50" s="205"/>
      <c r="J50" s="7"/>
      <c r="K50" s="7"/>
      <c r="L50" s="7"/>
    </row>
    <row r="51" spans="1:12" ht="15.75" x14ac:dyDescent="0.25">
      <c r="A51" s="7" t="s">
        <v>22</v>
      </c>
      <c r="B51" s="7"/>
      <c r="C51" s="193" t="s">
        <v>24</v>
      </c>
      <c r="D51" s="193"/>
      <c r="E51" s="193"/>
      <c r="F51" s="193"/>
      <c r="G51" s="7"/>
      <c r="H51" s="195"/>
      <c r="I51" s="195"/>
      <c r="J51" s="58"/>
      <c r="K51" s="59">
        <f>IF(L51="LINEAR",'DEPRECIAÇÃO LINEAR'!H23,(VLOOKUP(E15,'DEPRECIAÇÃO LINEAR'!W12:AM25,17,0)))</f>
        <v>3983.0128500000005</v>
      </c>
      <c r="L51" s="55" t="s">
        <v>130</v>
      </c>
    </row>
    <row r="52" spans="1:12" ht="15.75" x14ac:dyDescent="0.25">
      <c r="A52" s="7" t="s">
        <v>26</v>
      </c>
      <c r="B52" s="7"/>
      <c r="C52" s="193" t="s">
        <v>27</v>
      </c>
      <c r="D52" s="193"/>
      <c r="E52" s="193"/>
      <c r="F52" s="193"/>
      <c r="G52" s="7"/>
      <c r="H52" s="7"/>
      <c r="I52" s="7"/>
      <c r="J52" s="58"/>
      <c r="K52" s="58"/>
      <c r="L52" s="7"/>
    </row>
    <row r="53" spans="1:12" ht="15.75" x14ac:dyDescent="0.25">
      <c r="A53" s="7"/>
      <c r="B53" s="7" t="s">
        <v>31</v>
      </c>
      <c r="C53" s="193" t="s">
        <v>28</v>
      </c>
      <c r="D53" s="193"/>
      <c r="E53" s="193"/>
      <c r="F53" s="193"/>
      <c r="G53" s="7"/>
      <c r="H53" s="7"/>
      <c r="I53" s="7"/>
      <c r="J53" s="58"/>
      <c r="K53" s="58">
        <f>'Motorista de Veiculo Pesado'!E90</f>
        <v>8468.4608078400015</v>
      </c>
      <c r="L53" s="7"/>
    </row>
    <row r="54" spans="1:12" ht="15.75" x14ac:dyDescent="0.25">
      <c r="A54" s="7"/>
      <c r="B54" s="7" t="s">
        <v>32</v>
      </c>
      <c r="C54" s="193" t="s">
        <v>29</v>
      </c>
      <c r="D54" s="193"/>
      <c r="E54" s="193"/>
      <c r="F54" s="193"/>
      <c r="G54" s="7"/>
      <c r="H54" s="7"/>
      <c r="I54" s="7"/>
      <c r="J54" s="58"/>
      <c r="K54" s="58">
        <f>'Monitor de Transporte Escolar'!E90</f>
        <v>4485.726463695999</v>
      </c>
      <c r="L54" s="7"/>
    </row>
    <row r="55" spans="1:12" ht="15.75" x14ac:dyDescent="0.25">
      <c r="A55" s="7" t="s">
        <v>30</v>
      </c>
      <c r="B55" s="7"/>
      <c r="C55" s="193" t="s">
        <v>34</v>
      </c>
      <c r="D55" s="193"/>
      <c r="E55" s="193"/>
      <c r="F55" s="193"/>
      <c r="G55" s="7"/>
      <c r="H55" s="7"/>
      <c r="I55" s="7"/>
      <c r="J55" s="58"/>
      <c r="K55" s="58"/>
      <c r="L55" s="56"/>
    </row>
    <row r="56" spans="1:12" ht="15.75" x14ac:dyDescent="0.25">
      <c r="A56" s="7"/>
      <c r="B56" s="7" t="s">
        <v>33</v>
      </c>
      <c r="C56" s="7" t="s">
        <v>35</v>
      </c>
      <c r="D56" s="7"/>
      <c r="E56" s="7"/>
      <c r="F56" s="7"/>
      <c r="G56" s="7"/>
      <c r="H56" s="7"/>
      <c r="I56" s="7"/>
      <c r="J56" s="58">
        <f>1/100*E12</f>
        <v>5310.6837999999998</v>
      </c>
      <c r="K56" s="58">
        <f>J56/12</f>
        <v>442.55698333333333</v>
      </c>
      <c r="L56" s="7"/>
    </row>
    <row r="57" spans="1:12" ht="15.75" x14ac:dyDescent="0.25">
      <c r="A57" s="7"/>
      <c r="B57" s="7" t="s">
        <v>36</v>
      </c>
      <c r="C57" s="7" t="s">
        <v>37</v>
      </c>
      <c r="D57" s="7"/>
      <c r="E57" s="7"/>
      <c r="F57" s="7"/>
      <c r="G57" s="7"/>
      <c r="H57" s="7"/>
      <c r="I57" s="7"/>
      <c r="J57" s="58">
        <v>230.25</v>
      </c>
      <c r="K57" s="58">
        <f>J57/12</f>
        <v>19.1875</v>
      </c>
      <c r="L57" s="7"/>
    </row>
    <row r="58" spans="1:12" ht="15.75" x14ac:dyDescent="0.25">
      <c r="A58" s="7"/>
      <c r="B58" s="7" t="s">
        <v>38</v>
      </c>
      <c r="C58" s="193" t="s">
        <v>39</v>
      </c>
      <c r="D58" s="193"/>
      <c r="E58" s="193"/>
      <c r="F58" s="193"/>
      <c r="G58" s="7"/>
      <c r="H58" s="7"/>
      <c r="I58" s="7"/>
      <c r="J58" s="58">
        <v>161.80000000000001</v>
      </c>
      <c r="K58" s="58">
        <f>J58/12</f>
        <v>13.483333333333334</v>
      </c>
      <c r="L58" s="7"/>
    </row>
    <row r="59" spans="1:12" ht="15.75" x14ac:dyDescent="0.25">
      <c r="A59" s="7" t="s">
        <v>41</v>
      </c>
      <c r="B59" s="7"/>
      <c r="C59" s="7" t="s">
        <v>40</v>
      </c>
      <c r="D59" s="7"/>
      <c r="E59" s="7"/>
      <c r="F59" s="7"/>
      <c r="G59" s="7"/>
      <c r="H59" s="7"/>
      <c r="I59" s="7"/>
      <c r="J59" s="58">
        <v>0</v>
      </c>
      <c r="K59" s="58">
        <f>J59/12</f>
        <v>0</v>
      </c>
      <c r="L59" s="7"/>
    </row>
    <row r="60" spans="1:12" ht="15.75" x14ac:dyDescent="0.25">
      <c r="A60" s="7" t="s">
        <v>57</v>
      </c>
      <c r="B60" s="7"/>
      <c r="C60" s="193" t="s">
        <v>58</v>
      </c>
      <c r="D60" s="193"/>
      <c r="E60" s="193"/>
      <c r="F60" s="193"/>
      <c r="G60" s="193"/>
      <c r="H60" s="7"/>
      <c r="I60" s="7"/>
      <c r="J60" s="58">
        <f>Insumos!$B$8</f>
        <v>350.88</v>
      </c>
      <c r="K60" s="58">
        <f>4*J60</f>
        <v>1403.52</v>
      </c>
      <c r="L60" s="7"/>
    </row>
    <row r="61" spans="1:12" ht="15.75" x14ac:dyDescent="0.25">
      <c r="A61" s="7" t="s">
        <v>60</v>
      </c>
      <c r="B61" s="7"/>
      <c r="C61" s="45" t="s">
        <v>63</v>
      </c>
      <c r="D61" s="45"/>
      <c r="E61" s="45"/>
      <c r="F61" s="45"/>
      <c r="G61" s="45"/>
      <c r="H61" s="7"/>
      <c r="I61" s="7"/>
      <c r="J61" s="58">
        <f>Insumos!$B$9</f>
        <v>2680.95</v>
      </c>
      <c r="K61" s="58">
        <f>J61/12</f>
        <v>223.41249999999999</v>
      </c>
      <c r="L61" s="7"/>
    </row>
    <row r="62" spans="1:12" ht="15.75" x14ac:dyDescent="0.25">
      <c r="A62" s="7" t="s">
        <v>61</v>
      </c>
      <c r="B62" s="7"/>
      <c r="C62" s="193" t="s">
        <v>62</v>
      </c>
      <c r="D62" s="193"/>
      <c r="E62" s="193"/>
      <c r="F62" s="45"/>
      <c r="G62" s="45"/>
      <c r="H62" s="7"/>
      <c r="I62" s="7"/>
      <c r="J62" s="60">
        <f>Insumos!$B$10</f>
        <v>932.23</v>
      </c>
      <c r="K62" s="58">
        <f>J62/12</f>
        <v>77.685833333333335</v>
      </c>
      <c r="L62" s="7"/>
    </row>
    <row r="63" spans="1:12" ht="15.75" x14ac:dyDescent="0.25">
      <c r="A63" s="7" t="s">
        <v>142</v>
      </c>
      <c r="B63" s="7"/>
      <c r="C63" s="203" t="s">
        <v>143</v>
      </c>
      <c r="D63" s="203"/>
      <c r="E63" s="203"/>
      <c r="F63" s="203"/>
      <c r="G63" s="164"/>
      <c r="H63" s="7"/>
      <c r="I63" s="7"/>
      <c r="J63" s="60">
        <f>Insumos!$B$11</f>
        <v>471.82</v>
      </c>
      <c r="K63" s="72">
        <f>J63/24</f>
        <v>19.659166666666668</v>
      </c>
      <c r="L63" s="7"/>
    </row>
    <row r="64" spans="1:12" ht="15.75" x14ac:dyDescent="0.25">
      <c r="A64" s="7" t="s">
        <v>340</v>
      </c>
      <c r="B64" s="7"/>
      <c r="C64" s="165" t="s">
        <v>343</v>
      </c>
      <c r="D64" s="165"/>
      <c r="E64" s="165"/>
      <c r="F64" s="165"/>
      <c r="G64" s="164"/>
      <c r="H64" s="7"/>
      <c r="I64" s="7"/>
      <c r="J64" s="60">
        <f>Insumos!$B$12</f>
        <v>14.372399999999997</v>
      </c>
      <c r="K64" s="72">
        <f>J64/60</f>
        <v>0.23953999999999995</v>
      </c>
      <c r="L64" s="7"/>
    </row>
    <row r="65" spans="1:13" ht="20.25" customHeight="1" x14ac:dyDescent="0.25">
      <c r="A65" s="259" t="s">
        <v>43</v>
      </c>
      <c r="B65" s="260"/>
      <c r="C65" s="260"/>
      <c r="D65" s="260"/>
      <c r="E65" s="260"/>
      <c r="F65" s="260"/>
      <c r="G65" s="260"/>
      <c r="H65" s="260"/>
      <c r="I65" s="260"/>
      <c r="J65" s="261"/>
      <c r="K65" s="67">
        <f>SUM(K51:K64)</f>
        <v>19136.944978202664</v>
      </c>
      <c r="L65" s="57" t="s">
        <v>16</v>
      </c>
      <c r="M65" s="4"/>
    </row>
    <row r="67" spans="1:13" ht="19.5" customHeight="1" x14ac:dyDescent="0.3">
      <c r="A67" s="262" t="s">
        <v>132</v>
      </c>
      <c r="B67" s="263"/>
      <c r="C67" s="263"/>
      <c r="D67" s="263"/>
      <c r="E67" s="263"/>
      <c r="F67" s="263"/>
      <c r="G67" s="263"/>
      <c r="H67" s="263"/>
      <c r="I67" s="264"/>
      <c r="K67" s="66">
        <f>K47+K65</f>
        <v>23638.61565185176</v>
      </c>
    </row>
    <row r="69" spans="1:13" ht="15.75" x14ac:dyDescent="0.25">
      <c r="A69" s="254" t="s">
        <v>133</v>
      </c>
      <c r="B69" s="255"/>
      <c r="C69" s="255"/>
      <c r="D69" s="255"/>
      <c r="E69" s="256"/>
      <c r="I69" s="265" t="s">
        <v>55</v>
      </c>
      <c r="J69" s="266"/>
    </row>
    <row r="70" spans="1:13" ht="15.75" x14ac:dyDescent="0.25">
      <c r="A70" s="7" t="s">
        <v>341</v>
      </c>
      <c r="B70" s="7"/>
      <c r="C70" s="193" t="s">
        <v>54</v>
      </c>
      <c r="D70" s="193"/>
      <c r="E70" s="193"/>
      <c r="F70" s="193"/>
      <c r="G70" s="7"/>
      <c r="H70" s="7"/>
      <c r="I70" s="168">
        <f>Insumos!$B$15</f>
        <v>2.6599999999999999E-2</v>
      </c>
      <c r="J70" s="7"/>
      <c r="K70" s="58">
        <f>I70*K67</f>
        <v>628.7871763392568</v>
      </c>
      <c r="L70" s="7"/>
    </row>
    <row r="71" spans="1:13" ht="15.75" x14ac:dyDescent="0.25">
      <c r="A71" s="7" t="s">
        <v>342</v>
      </c>
      <c r="B71" s="7"/>
      <c r="C71" s="193" t="s">
        <v>59</v>
      </c>
      <c r="D71" s="193"/>
      <c r="E71" s="193"/>
      <c r="F71" s="193"/>
      <c r="G71" s="7"/>
      <c r="H71" s="7"/>
      <c r="I71" s="169">
        <f>Insumos!$B$16</f>
        <v>0.04</v>
      </c>
      <c r="J71" s="7"/>
      <c r="K71" s="58">
        <f>I71*(K67+K70)</f>
        <v>970.69611312764073</v>
      </c>
      <c r="L71" s="7"/>
    </row>
    <row r="72" spans="1:13" ht="18.75" x14ac:dyDescent="0.3">
      <c r="A72" s="7"/>
      <c r="B72" s="7"/>
      <c r="C72" s="7"/>
      <c r="D72" s="7"/>
      <c r="E72" s="7"/>
      <c r="F72" s="7"/>
      <c r="G72" s="7"/>
      <c r="H72" s="7"/>
      <c r="I72" s="7"/>
      <c r="J72" s="61" t="s">
        <v>131</v>
      </c>
      <c r="K72" s="65">
        <f>SUM(K70:K71)</f>
        <v>1599.4832894668975</v>
      </c>
      <c r="L72" s="54" t="s">
        <v>16</v>
      </c>
    </row>
    <row r="74" spans="1:13" ht="15.75" x14ac:dyDescent="0.25">
      <c r="A74" s="254" t="s">
        <v>134</v>
      </c>
      <c r="B74" s="255"/>
      <c r="C74" s="255"/>
      <c r="D74" s="255"/>
      <c r="E74" s="256"/>
      <c r="F74" s="7"/>
      <c r="G74" s="7"/>
      <c r="H74" s="7"/>
      <c r="I74" s="7"/>
      <c r="J74" s="7"/>
      <c r="K74" s="7"/>
      <c r="L74" s="7"/>
    </row>
    <row r="75" spans="1:13" ht="15.75" x14ac:dyDescent="0.25">
      <c r="A75" s="193" t="s">
        <v>42</v>
      </c>
      <c r="B75" s="193"/>
      <c r="C75" s="193"/>
      <c r="D75" s="193"/>
      <c r="E75" s="193"/>
      <c r="F75" s="193"/>
      <c r="G75" s="7"/>
      <c r="H75" s="7"/>
      <c r="I75" s="219" t="s">
        <v>47</v>
      </c>
      <c r="J75" s="220"/>
      <c r="K75" s="51">
        <f>K67+K72</f>
        <v>25238.098941318658</v>
      </c>
      <c r="L75" s="7"/>
    </row>
    <row r="76" spans="1:13" ht="15.75" x14ac:dyDescent="0.25">
      <c r="A76" s="7" t="s">
        <v>53</v>
      </c>
      <c r="C76" s="7" t="s">
        <v>44</v>
      </c>
      <c r="D76" s="7"/>
      <c r="E76" s="7"/>
      <c r="F76" s="7"/>
      <c r="G76" s="7"/>
      <c r="H76" s="7"/>
      <c r="I76" s="257">
        <f>Insumos!$B$18</f>
        <v>0.05</v>
      </c>
      <c r="J76" s="258"/>
      <c r="K76" s="51">
        <f>$K$75/(1-(SUM($I$76:$J$78)))*I76</f>
        <v>1381.3956727596421</v>
      </c>
      <c r="L76" s="7"/>
    </row>
    <row r="77" spans="1:13" ht="15.75" x14ac:dyDescent="0.25">
      <c r="A77" s="7" t="s">
        <v>344</v>
      </c>
      <c r="C77" s="7" t="s">
        <v>45</v>
      </c>
      <c r="D77" s="7"/>
      <c r="E77" s="7"/>
      <c r="F77" s="7"/>
      <c r="G77" s="7"/>
      <c r="H77" s="7"/>
      <c r="I77" s="257">
        <f>Insumos!$B$19</f>
        <v>6.4999999999999997E-3</v>
      </c>
      <c r="J77" s="258"/>
      <c r="K77" s="51">
        <f>$K$75/(1-(SUM($I$76:$J$78)))*I77</f>
        <v>179.58143745875344</v>
      </c>
      <c r="L77" s="7"/>
    </row>
    <row r="78" spans="1:13" ht="15.75" x14ac:dyDescent="0.25">
      <c r="A78" s="7" t="s">
        <v>345</v>
      </c>
      <c r="C78" s="7" t="s">
        <v>46</v>
      </c>
      <c r="D78" s="7"/>
      <c r="E78" s="7"/>
      <c r="F78" s="7"/>
      <c r="G78" s="7"/>
      <c r="H78" s="7"/>
      <c r="I78" s="257">
        <f>Insumos!$B$20</f>
        <v>0.03</v>
      </c>
      <c r="J78" s="258"/>
      <c r="K78" s="51">
        <f>$K$75/(1-(SUM($I$76:$J$78)))*I78</f>
        <v>828.83740365578512</v>
      </c>
      <c r="L78" s="7"/>
    </row>
    <row r="79" spans="1:13" ht="21" customHeight="1" x14ac:dyDescent="0.3">
      <c r="A79" s="251" t="s">
        <v>48</v>
      </c>
      <c r="B79" s="252"/>
      <c r="C79" s="252"/>
      <c r="D79" s="252"/>
      <c r="E79" s="252"/>
      <c r="F79" s="252"/>
      <c r="G79" s="252"/>
      <c r="H79" s="252"/>
      <c r="I79" s="252"/>
      <c r="J79" s="253"/>
      <c r="K79" s="64">
        <f>SUM(K76:K78)</f>
        <v>2389.8145138741806</v>
      </c>
      <c r="L79" s="54" t="s">
        <v>16</v>
      </c>
    </row>
    <row r="81" spans="1:20" x14ac:dyDescent="0.25">
      <c r="C81" s="5"/>
      <c r="D81" s="5"/>
      <c r="E81" s="5"/>
      <c r="F81" s="5"/>
      <c r="K81" s="2"/>
    </row>
    <row r="82" spans="1:20" ht="15.75" x14ac:dyDescent="0.25">
      <c r="A82" s="191" t="s">
        <v>56</v>
      </c>
      <c r="B82" s="191"/>
      <c r="C82" s="191"/>
      <c r="D82" s="191"/>
      <c r="E82" s="191"/>
      <c r="F82" s="191"/>
      <c r="G82" s="191"/>
      <c r="H82" s="191"/>
      <c r="I82" s="191"/>
      <c r="T82" s="43"/>
    </row>
    <row r="83" spans="1:20" ht="15.75" x14ac:dyDescent="0.25">
      <c r="A83" s="6"/>
      <c r="B83" s="6"/>
      <c r="C83" s="6"/>
      <c r="D83" s="6"/>
      <c r="E83" s="6"/>
      <c r="F83" s="6"/>
      <c r="G83" s="6"/>
      <c r="H83" s="6"/>
      <c r="I83" s="6"/>
    </row>
    <row r="84" spans="1:20" ht="15.75" x14ac:dyDescent="0.25">
      <c r="A84" s="191" t="s">
        <v>51</v>
      </c>
      <c r="B84" s="192"/>
      <c r="C84" s="192"/>
      <c r="D84" s="192"/>
      <c r="E84" s="192"/>
      <c r="F84" s="192"/>
      <c r="G84" s="192"/>
      <c r="H84" s="192"/>
    </row>
    <row r="85" spans="1:20" ht="20.25" customHeight="1" x14ac:dyDescent="0.3">
      <c r="A85" s="193" t="s">
        <v>135</v>
      </c>
      <c r="B85" s="193"/>
      <c r="C85" s="193"/>
      <c r="D85" s="193"/>
      <c r="E85" s="193"/>
      <c r="F85" s="193"/>
      <c r="G85" s="193"/>
      <c r="H85" s="193"/>
      <c r="I85" s="193"/>
      <c r="J85" s="193"/>
      <c r="K85" s="62">
        <f>K67+K72+K79</f>
        <v>27627.91345519284</v>
      </c>
    </row>
    <row r="86" spans="1:20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2"/>
    </row>
    <row r="87" spans="1:20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2"/>
      <c r="P87" s="42"/>
    </row>
    <row r="88" spans="1:20" ht="8.25" customHeight="1" x14ac:dyDescent="0.25"/>
    <row r="89" spans="1:20" ht="16.5" customHeight="1" x14ac:dyDescent="0.25">
      <c r="A89" s="194" t="s">
        <v>49</v>
      </c>
      <c r="B89" s="195"/>
      <c r="C89" s="195"/>
      <c r="D89" s="195"/>
      <c r="E89" s="195"/>
      <c r="F89" s="195"/>
      <c r="G89" s="195"/>
      <c r="H89" s="195"/>
      <c r="I89" s="195"/>
      <c r="J89" s="195"/>
      <c r="K89" s="7"/>
      <c r="L89" s="7"/>
    </row>
    <row r="90" spans="1:20" ht="24.75" customHeight="1" x14ac:dyDescent="0.3">
      <c r="A90" s="196" t="s">
        <v>141</v>
      </c>
      <c r="B90" s="196"/>
      <c r="C90" s="196"/>
      <c r="D90" s="196"/>
      <c r="E90" s="196"/>
      <c r="F90" s="196"/>
      <c r="G90" s="196"/>
      <c r="H90" s="196"/>
      <c r="I90" s="196"/>
      <c r="J90" s="196"/>
      <c r="K90" s="71">
        <f>K85/O18</f>
        <v>33.820435126934555</v>
      </c>
      <c r="L90" s="63" t="s">
        <v>50</v>
      </c>
    </row>
    <row r="94" spans="1:20" s="10" customFormat="1" x14ac:dyDescent="0.25"/>
    <row r="95" spans="1:20" s="11" customFormat="1" ht="18.75" x14ac:dyDescent="0.3">
      <c r="B95" s="12" t="s">
        <v>69</v>
      </c>
      <c r="D95" s="188" t="s">
        <v>65</v>
      </c>
      <c r="E95" s="188"/>
      <c r="L95" s="12" t="s">
        <v>69</v>
      </c>
      <c r="M95" s="12"/>
      <c r="N95" s="12" t="s">
        <v>75</v>
      </c>
      <c r="O95" s="12"/>
    </row>
    <row r="96" spans="1:20" s="11" customFormat="1" x14ac:dyDescent="0.25"/>
    <row r="97" spans="2:18" s="11" customFormat="1" x14ac:dyDescent="0.25">
      <c r="B97" s="184" t="s">
        <v>66</v>
      </c>
      <c r="C97" s="184"/>
      <c r="D97" s="13"/>
      <c r="E97" s="13"/>
      <c r="F97" s="189">
        <v>288912</v>
      </c>
      <c r="G97" s="189"/>
      <c r="L97" s="13" t="s">
        <v>66</v>
      </c>
      <c r="M97" s="13"/>
      <c r="N97" s="13"/>
      <c r="O97" s="13"/>
      <c r="P97" s="13"/>
      <c r="Q97" s="30">
        <v>271500</v>
      </c>
    </row>
    <row r="98" spans="2:18" s="11" customFormat="1" x14ac:dyDescent="0.25">
      <c r="B98" s="13" t="s">
        <v>67</v>
      </c>
      <c r="D98" s="13"/>
      <c r="E98" s="13"/>
      <c r="F98" s="185">
        <v>10</v>
      </c>
      <c r="G98" s="185"/>
      <c r="H98" s="11" t="s">
        <v>154</v>
      </c>
      <c r="L98" s="13" t="s">
        <v>67</v>
      </c>
      <c r="M98" s="13"/>
      <c r="N98" s="13"/>
      <c r="O98" s="13"/>
      <c r="P98" s="13"/>
      <c r="Q98" s="13">
        <v>10</v>
      </c>
      <c r="R98" s="11" t="s">
        <v>154</v>
      </c>
    </row>
    <row r="99" spans="2:18" s="11" customFormat="1" x14ac:dyDescent="0.25">
      <c r="B99" s="13" t="s">
        <v>81</v>
      </c>
      <c r="D99" s="13"/>
      <c r="E99" s="13"/>
      <c r="F99" s="14"/>
      <c r="G99" s="14">
        <v>2018</v>
      </c>
      <c r="L99" s="13" t="s">
        <v>81</v>
      </c>
      <c r="N99" s="13"/>
      <c r="O99" s="13"/>
      <c r="P99" s="14"/>
      <c r="Q99" s="14">
        <v>2018</v>
      </c>
    </row>
    <row r="100" spans="2:18" s="11" customFormat="1" x14ac:dyDescent="0.25">
      <c r="B100" s="184" t="s">
        <v>68</v>
      </c>
      <c r="C100" s="184"/>
      <c r="D100" s="184"/>
      <c r="F100" s="185">
        <v>6</v>
      </c>
      <c r="G100" s="185"/>
      <c r="L100" s="13" t="s">
        <v>76</v>
      </c>
      <c r="M100" s="13"/>
      <c r="N100" s="13"/>
      <c r="O100" s="13"/>
      <c r="P100" s="13"/>
      <c r="Q100" s="13">
        <v>6</v>
      </c>
    </row>
    <row r="101" spans="2:18" s="11" customFormat="1" x14ac:dyDescent="0.25">
      <c r="B101" s="184" t="s">
        <v>71</v>
      </c>
      <c r="C101" s="184"/>
      <c r="D101" s="184"/>
      <c r="F101" s="14"/>
      <c r="G101" s="17">
        <v>100000</v>
      </c>
      <c r="L101" s="13" t="s">
        <v>71</v>
      </c>
      <c r="M101" s="13"/>
      <c r="N101" s="13"/>
      <c r="O101" s="13"/>
      <c r="P101" s="13"/>
      <c r="Q101" s="19">
        <v>100000</v>
      </c>
    </row>
    <row r="102" spans="2:18" s="11" customFormat="1" x14ac:dyDescent="0.25">
      <c r="B102" s="184" t="s">
        <v>72</v>
      </c>
      <c r="C102" s="184"/>
      <c r="D102" s="184"/>
      <c r="F102" s="14"/>
      <c r="G102" s="20">
        <v>1533.77</v>
      </c>
      <c r="L102" s="13" t="s">
        <v>72</v>
      </c>
      <c r="M102" s="13"/>
      <c r="N102" s="13"/>
      <c r="O102" s="13"/>
      <c r="P102" s="13"/>
      <c r="Q102" s="69">
        <v>860.69</v>
      </c>
    </row>
    <row r="103" spans="2:18" s="11" customFormat="1" x14ac:dyDescent="0.25">
      <c r="B103" s="184" t="s">
        <v>73</v>
      </c>
      <c r="C103" s="184"/>
      <c r="D103" s="15"/>
      <c r="F103" s="14"/>
      <c r="G103" s="14">
        <v>2.6</v>
      </c>
      <c r="H103" s="13" t="s">
        <v>74</v>
      </c>
      <c r="L103" s="13" t="s">
        <v>73</v>
      </c>
      <c r="M103" s="13"/>
      <c r="N103" s="13"/>
      <c r="O103" s="13"/>
      <c r="P103" s="13"/>
      <c r="Q103" s="13">
        <v>4.7</v>
      </c>
    </row>
    <row r="104" spans="2:18" s="11" customFormat="1" x14ac:dyDescent="0.25">
      <c r="B104" s="184" t="s">
        <v>70</v>
      </c>
      <c r="C104" s="184"/>
      <c r="D104" s="184"/>
      <c r="F104" s="185" t="s">
        <v>125</v>
      </c>
      <c r="G104" s="185"/>
      <c r="L104" s="13" t="s">
        <v>70</v>
      </c>
      <c r="M104" s="13"/>
      <c r="N104" s="13"/>
      <c r="O104" s="13"/>
      <c r="P104" s="13"/>
      <c r="Q104" s="13" t="s">
        <v>124</v>
      </c>
    </row>
    <row r="105" spans="2:18" s="11" customFormat="1" x14ac:dyDescent="0.25"/>
    <row r="106" spans="2:18" s="11" customFormat="1" x14ac:dyDescent="0.25"/>
    <row r="107" spans="2:18" s="11" customFormat="1" ht="18.75" x14ac:dyDescent="0.3">
      <c r="B107" s="12" t="s">
        <v>69</v>
      </c>
      <c r="C107" s="12"/>
      <c r="D107" s="12" t="s">
        <v>77</v>
      </c>
      <c r="E107" s="13"/>
      <c r="F107" s="13"/>
      <c r="G107" s="13"/>
      <c r="H107" s="13"/>
      <c r="L107" s="12" t="s">
        <v>69</v>
      </c>
      <c r="M107" s="16"/>
      <c r="N107" s="16"/>
      <c r="O107" s="12" t="s">
        <v>78</v>
      </c>
    </row>
    <row r="108" spans="2:18" s="11" customFormat="1" x14ac:dyDescent="0.25">
      <c r="B108" s="13"/>
      <c r="C108" s="13"/>
      <c r="D108" s="13"/>
      <c r="E108" s="13"/>
      <c r="F108" s="13"/>
      <c r="G108" s="13"/>
      <c r="H108" s="13"/>
    </row>
    <row r="109" spans="2:18" s="11" customFormat="1" x14ac:dyDescent="0.25">
      <c r="B109" s="184" t="s">
        <v>66</v>
      </c>
      <c r="C109" s="184"/>
      <c r="D109" s="13"/>
      <c r="E109" s="13"/>
      <c r="F109" s="185">
        <v>400</v>
      </c>
      <c r="G109" s="185"/>
      <c r="H109" s="13"/>
      <c r="L109" s="184" t="s">
        <v>66</v>
      </c>
      <c r="M109" s="184"/>
      <c r="N109" s="13"/>
      <c r="O109" s="13"/>
      <c r="P109" s="185" t="s">
        <v>78</v>
      </c>
      <c r="Q109" s="185"/>
      <c r="R109" s="13"/>
    </row>
    <row r="110" spans="2:18" s="11" customFormat="1" x14ac:dyDescent="0.25">
      <c r="B110" s="13" t="s">
        <v>67</v>
      </c>
      <c r="C110" s="13"/>
      <c r="D110" s="13"/>
      <c r="E110" s="13"/>
      <c r="F110" s="185">
        <v>10</v>
      </c>
      <c r="G110" s="185"/>
      <c r="H110" s="13" t="s">
        <v>154</v>
      </c>
      <c r="L110" s="13" t="s">
        <v>67</v>
      </c>
      <c r="M110" s="13"/>
      <c r="N110" s="13"/>
      <c r="O110" s="13"/>
      <c r="P110" s="185">
        <v>8</v>
      </c>
      <c r="Q110" s="185"/>
      <c r="R110" s="13" t="s">
        <v>154</v>
      </c>
    </row>
    <row r="111" spans="2:18" s="11" customFormat="1" x14ac:dyDescent="0.25">
      <c r="B111" s="13" t="s">
        <v>81</v>
      </c>
      <c r="D111" s="13"/>
      <c r="E111" s="13"/>
      <c r="F111" s="14"/>
      <c r="G111" s="14" t="s">
        <v>82</v>
      </c>
      <c r="L111" s="13" t="s">
        <v>81</v>
      </c>
      <c r="N111" s="13"/>
      <c r="O111" s="13"/>
      <c r="P111" s="14"/>
      <c r="Q111" s="14" t="s">
        <v>83</v>
      </c>
      <c r="R111" s="13"/>
    </row>
    <row r="112" spans="2:18" s="11" customFormat="1" x14ac:dyDescent="0.25">
      <c r="B112" s="184" t="s">
        <v>68</v>
      </c>
      <c r="C112" s="184"/>
      <c r="D112" s="184"/>
      <c r="E112" s="13"/>
      <c r="F112" s="185" t="s">
        <v>87</v>
      </c>
      <c r="G112" s="185"/>
      <c r="H112" s="13"/>
      <c r="L112" s="184" t="s">
        <v>68</v>
      </c>
      <c r="M112" s="184"/>
      <c r="N112" s="184"/>
      <c r="O112" s="13"/>
      <c r="P112" s="185" t="s">
        <v>88</v>
      </c>
      <c r="Q112" s="185"/>
      <c r="R112" s="13"/>
    </row>
    <row r="113" spans="2:21" s="11" customFormat="1" x14ac:dyDescent="0.25">
      <c r="B113" s="184" t="s">
        <v>71</v>
      </c>
      <c r="C113" s="184"/>
      <c r="D113" s="184"/>
      <c r="E113" s="13"/>
      <c r="F113" s="14"/>
      <c r="G113" s="14" t="s">
        <v>89</v>
      </c>
      <c r="H113" s="13"/>
      <c r="L113" s="184" t="s">
        <v>71</v>
      </c>
      <c r="M113" s="184"/>
      <c r="N113" s="184"/>
      <c r="O113" s="13"/>
      <c r="P113" s="14"/>
      <c r="Q113" s="14" t="s">
        <v>90</v>
      </c>
      <c r="R113" s="13"/>
    </row>
    <row r="114" spans="2:21" s="11" customFormat="1" x14ac:dyDescent="0.25">
      <c r="B114" s="184" t="s">
        <v>72</v>
      </c>
      <c r="C114" s="184"/>
      <c r="D114" s="184"/>
      <c r="E114" s="13"/>
      <c r="F114" s="14"/>
      <c r="G114" s="14">
        <v>400</v>
      </c>
      <c r="H114" s="13"/>
      <c r="L114" s="184" t="s">
        <v>72</v>
      </c>
      <c r="M114" s="184"/>
      <c r="N114" s="184"/>
      <c r="O114" s="13"/>
      <c r="P114" s="14"/>
      <c r="Q114" s="14">
        <v>4444</v>
      </c>
      <c r="R114" s="13"/>
    </row>
    <row r="115" spans="2:21" s="11" customFormat="1" x14ac:dyDescent="0.25">
      <c r="B115" s="184" t="s">
        <v>73</v>
      </c>
      <c r="C115" s="184"/>
      <c r="D115" s="15"/>
      <c r="E115" s="13"/>
      <c r="F115" s="14"/>
      <c r="G115" s="14">
        <v>2</v>
      </c>
      <c r="H115" s="13" t="s">
        <v>74</v>
      </c>
      <c r="L115" s="184" t="s">
        <v>73</v>
      </c>
      <c r="M115" s="184"/>
      <c r="N115" s="15"/>
      <c r="O115" s="13"/>
      <c r="P115" s="14"/>
      <c r="Q115" s="14">
        <v>4</v>
      </c>
      <c r="R115" s="13" t="s">
        <v>74</v>
      </c>
    </row>
    <row r="116" spans="2:21" s="11" customFormat="1" x14ac:dyDescent="0.25">
      <c r="B116" s="184" t="s">
        <v>70</v>
      </c>
      <c r="C116" s="184"/>
      <c r="D116" s="184"/>
      <c r="E116" s="13"/>
      <c r="F116" s="185" t="s">
        <v>85</v>
      </c>
      <c r="G116" s="185"/>
      <c r="H116" s="13"/>
      <c r="L116" s="184" t="s">
        <v>70</v>
      </c>
      <c r="M116" s="184"/>
      <c r="N116" s="184"/>
      <c r="O116" s="13"/>
      <c r="P116" s="185" t="s">
        <v>86</v>
      </c>
      <c r="Q116" s="185"/>
      <c r="R116" s="13"/>
    </row>
    <row r="117" spans="2:21" s="11" customFormat="1" x14ac:dyDescent="0.25"/>
    <row r="118" spans="2:21" s="11" customFormat="1" x14ac:dyDescent="0.25"/>
    <row r="119" spans="2:21" s="11" customFormat="1" ht="18.75" x14ac:dyDescent="0.3">
      <c r="Q119" s="12" t="s">
        <v>65</v>
      </c>
      <c r="R119" s="12"/>
      <c r="T119" s="13" t="s">
        <v>130</v>
      </c>
      <c r="U119" s="13"/>
    </row>
    <row r="120" spans="2:21" s="11" customFormat="1" ht="18.75" x14ac:dyDescent="0.3">
      <c r="Q120" s="12" t="s">
        <v>75</v>
      </c>
      <c r="T120" s="13" t="s">
        <v>129</v>
      </c>
      <c r="U120" s="13"/>
    </row>
    <row r="121" spans="2:21" s="11" customFormat="1" ht="18.75" x14ac:dyDescent="0.3">
      <c r="Q121" s="12" t="s">
        <v>77</v>
      </c>
    </row>
    <row r="122" spans="2:21" s="11" customFormat="1" ht="18" customHeight="1" x14ac:dyDescent="0.3">
      <c r="B122" s="186" t="s">
        <v>172</v>
      </c>
      <c r="C122" s="186"/>
      <c r="Q122" s="12" t="s">
        <v>78</v>
      </c>
    </row>
    <row r="123" spans="2:21" ht="0.75" hidden="1" customHeight="1" x14ac:dyDescent="0.25">
      <c r="B123" s="186"/>
      <c r="C123" s="186"/>
    </row>
    <row r="124" spans="2:21" hidden="1" x14ac:dyDescent="0.25">
      <c r="B124" s="186"/>
      <c r="C124" s="186"/>
    </row>
    <row r="125" spans="2:21" x14ac:dyDescent="0.25">
      <c r="B125" s="186"/>
      <c r="C125" s="186"/>
    </row>
    <row r="126" spans="2:21" ht="24.75" x14ac:dyDescent="0.25">
      <c r="B126" s="94" t="s">
        <v>173</v>
      </c>
      <c r="C126" s="9" t="s">
        <v>174</v>
      </c>
      <c r="D126" s="9"/>
      <c r="E126" s="9"/>
      <c r="F126" s="9" t="s">
        <v>175</v>
      </c>
      <c r="G126" s="9"/>
      <c r="H126" s="9"/>
      <c r="I126" s="9" t="s">
        <v>176</v>
      </c>
      <c r="J126" s="9"/>
      <c r="K126" s="9"/>
      <c r="L126" s="9" t="s">
        <v>177</v>
      </c>
      <c r="M126" s="9"/>
      <c r="N126" s="9"/>
    </row>
    <row r="127" spans="2:21" x14ac:dyDescent="0.25">
      <c r="B127" s="5">
        <v>40</v>
      </c>
      <c r="C127" s="2">
        <f>$K$42*(B127*21)</f>
        <v>4049.0369329846144</v>
      </c>
      <c r="F127" s="2">
        <f>(C127+$K$65)*0.05</f>
        <v>1159.2990955593639</v>
      </c>
      <c r="I127" s="2">
        <f>(C127+$K$65+F127)*6%</f>
        <v>1460.7168604047984</v>
      </c>
      <c r="L127" s="31">
        <f>(C127+$K$65+F127+I127)*14.25%</f>
        <v>3677.3546960690801</v>
      </c>
      <c r="M127" s="9"/>
      <c r="N127" s="9"/>
    </row>
    <row r="128" spans="2:21" x14ac:dyDescent="0.25">
      <c r="B128" s="5">
        <v>50</v>
      </c>
      <c r="C128" s="2">
        <f t="shared" ref="C128:C139" si="0">$K$42*(B128*21)</f>
        <v>5061.296166230768</v>
      </c>
      <c r="F128" s="2">
        <f t="shared" ref="F128:F139" si="1">(C128+$K$65)*0.05</f>
        <v>1209.9120572216716</v>
      </c>
      <c r="I128" s="2">
        <f t="shared" ref="I128:I139" si="2">(C128+$K$65+F128)*6%</f>
        <v>1524.4891920993061</v>
      </c>
      <c r="L128" s="31">
        <f t="shared" ref="L128:L139" si="3">(C128+$K$65+F128+I128)*14.25%</f>
        <v>3837.9015411100031</v>
      </c>
      <c r="M128" s="9"/>
      <c r="N128" s="9"/>
    </row>
    <row r="129" spans="2:14" x14ac:dyDescent="0.25">
      <c r="B129" s="5">
        <v>60</v>
      </c>
      <c r="C129" s="2">
        <f t="shared" si="0"/>
        <v>6073.5553994769216</v>
      </c>
      <c r="F129" s="2">
        <f t="shared" si="1"/>
        <v>1260.5250188839793</v>
      </c>
      <c r="I129" s="2">
        <f t="shared" si="2"/>
        <v>1588.2615237938137</v>
      </c>
      <c r="L129" s="31">
        <f t="shared" si="3"/>
        <v>3998.4483861509261</v>
      </c>
      <c r="M129" s="9"/>
      <c r="N129" s="9"/>
    </row>
    <row r="130" spans="2:14" x14ac:dyDescent="0.25">
      <c r="B130" s="5">
        <v>70</v>
      </c>
      <c r="C130" s="2">
        <f t="shared" si="0"/>
        <v>7085.8146327230752</v>
      </c>
      <c r="F130" s="2">
        <f t="shared" si="1"/>
        <v>1311.1379805462871</v>
      </c>
      <c r="I130" s="2">
        <f t="shared" si="2"/>
        <v>1652.0338554883215</v>
      </c>
      <c r="L130" s="31">
        <f t="shared" si="3"/>
        <v>4158.9952311918487</v>
      </c>
      <c r="M130" s="9"/>
      <c r="N130" s="9"/>
    </row>
    <row r="131" spans="2:14" x14ac:dyDescent="0.25">
      <c r="B131" s="5">
        <v>80</v>
      </c>
      <c r="C131" s="2">
        <f t="shared" si="0"/>
        <v>8098.0738659692288</v>
      </c>
      <c r="F131" s="2">
        <f t="shared" si="1"/>
        <v>1361.7509422085948</v>
      </c>
      <c r="I131" s="2">
        <f t="shared" si="2"/>
        <v>1715.806187182829</v>
      </c>
      <c r="L131" s="31">
        <f t="shared" si="3"/>
        <v>4319.5420762327722</v>
      </c>
      <c r="M131" s="9"/>
      <c r="N131" s="9"/>
    </row>
    <row r="132" spans="2:14" x14ac:dyDescent="0.25">
      <c r="B132" s="5">
        <v>90</v>
      </c>
      <c r="C132" s="2">
        <f t="shared" si="0"/>
        <v>9110.3330992153824</v>
      </c>
      <c r="F132" s="2">
        <f t="shared" si="1"/>
        <v>1412.3639038709025</v>
      </c>
      <c r="I132" s="2">
        <f t="shared" si="2"/>
        <v>1779.578518877337</v>
      </c>
      <c r="L132" s="31">
        <f t="shared" si="3"/>
        <v>4480.0889212736956</v>
      </c>
      <c r="M132" s="9"/>
      <c r="N132" s="9"/>
    </row>
    <row r="133" spans="2:14" x14ac:dyDescent="0.25">
      <c r="B133" s="5">
        <v>100</v>
      </c>
      <c r="C133" s="2">
        <f t="shared" si="0"/>
        <v>10122.592332461536</v>
      </c>
      <c r="F133" s="2">
        <f t="shared" si="1"/>
        <v>1462.97686553321</v>
      </c>
      <c r="I133" s="2">
        <f t="shared" si="2"/>
        <v>1843.3508505718444</v>
      </c>
      <c r="L133" s="31">
        <f t="shared" si="3"/>
        <v>4640.6357663146182</v>
      </c>
      <c r="M133" s="9"/>
      <c r="N133" s="9"/>
    </row>
    <row r="134" spans="2:14" x14ac:dyDescent="0.25">
      <c r="B134" s="5">
        <v>110</v>
      </c>
      <c r="C134" s="2">
        <f t="shared" si="0"/>
        <v>11134.85156570769</v>
      </c>
      <c r="F134" s="2">
        <f t="shared" si="1"/>
        <v>1513.5898271955177</v>
      </c>
      <c r="I134" s="2">
        <f t="shared" si="2"/>
        <v>1907.1231822663524</v>
      </c>
      <c r="L134" s="31">
        <f t="shared" si="3"/>
        <v>4801.1826113555417</v>
      </c>
      <c r="M134" s="9"/>
      <c r="N134" s="9"/>
    </row>
    <row r="135" spans="2:14" x14ac:dyDescent="0.25">
      <c r="B135" s="5">
        <v>120</v>
      </c>
      <c r="C135" s="2">
        <f t="shared" si="0"/>
        <v>12147.110798953843</v>
      </c>
      <c r="F135" s="2">
        <f t="shared" si="1"/>
        <v>1564.2027888578255</v>
      </c>
      <c r="I135" s="2">
        <f t="shared" si="2"/>
        <v>1970.8955139608597</v>
      </c>
      <c r="L135" s="31">
        <f t="shared" si="3"/>
        <v>4961.7294563964642</v>
      </c>
      <c r="M135" s="9"/>
      <c r="N135" s="9"/>
    </row>
    <row r="136" spans="2:14" x14ac:dyDescent="0.25">
      <c r="B136" s="5">
        <v>130</v>
      </c>
      <c r="C136" s="2">
        <f t="shared" si="0"/>
        <v>13159.370032199997</v>
      </c>
      <c r="F136" s="2">
        <f t="shared" si="1"/>
        <v>1614.8157505201332</v>
      </c>
      <c r="I136" s="2">
        <f t="shared" si="2"/>
        <v>2034.6678456553677</v>
      </c>
      <c r="L136" s="31">
        <f t="shared" si="3"/>
        <v>5122.2763014373886</v>
      </c>
      <c r="M136" s="9"/>
      <c r="N136" s="9"/>
    </row>
    <row r="137" spans="2:14" x14ac:dyDescent="0.25">
      <c r="B137" s="5">
        <v>140</v>
      </c>
      <c r="C137" s="2">
        <f t="shared" si="0"/>
        <v>14171.62926544615</v>
      </c>
      <c r="F137" s="2">
        <f t="shared" si="1"/>
        <v>1665.4287121824409</v>
      </c>
      <c r="I137" s="2">
        <f t="shared" si="2"/>
        <v>2098.4401773498753</v>
      </c>
      <c r="L137" s="31">
        <f t="shared" si="3"/>
        <v>5282.8231464783103</v>
      </c>
      <c r="M137" s="9"/>
      <c r="N137" s="9"/>
    </row>
    <row r="138" spans="2:14" x14ac:dyDescent="0.25">
      <c r="B138" s="5">
        <v>150</v>
      </c>
      <c r="C138" s="2">
        <f t="shared" si="0"/>
        <v>15183.888498692304</v>
      </c>
      <c r="F138" s="2">
        <f t="shared" si="1"/>
        <v>1716.0416738447486</v>
      </c>
      <c r="I138" s="2">
        <f t="shared" si="2"/>
        <v>2162.2125090443828</v>
      </c>
      <c r="L138" s="31">
        <f t="shared" si="3"/>
        <v>5443.3699915192337</v>
      </c>
      <c r="M138" s="9"/>
      <c r="N138" s="9"/>
    </row>
    <row r="139" spans="2:14" x14ac:dyDescent="0.25">
      <c r="B139" s="5">
        <v>160</v>
      </c>
      <c r="C139" s="2">
        <f t="shared" si="0"/>
        <v>16196.147731938458</v>
      </c>
      <c r="F139" s="2">
        <f t="shared" si="1"/>
        <v>1766.6546355070561</v>
      </c>
      <c r="I139" s="2">
        <f t="shared" si="2"/>
        <v>2225.9848407388904</v>
      </c>
      <c r="L139" s="31">
        <f t="shared" si="3"/>
        <v>5603.9168365601563</v>
      </c>
      <c r="M139" s="9"/>
      <c r="N139" s="9"/>
    </row>
    <row r="140" spans="2:14" x14ac:dyDescent="0.25">
      <c r="B140" s="5"/>
    </row>
    <row r="143" spans="2:14" x14ac:dyDescent="0.25">
      <c r="B143" s="187" t="s">
        <v>178</v>
      </c>
      <c r="C143" s="187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</row>
    <row r="144" spans="2:14" x14ac:dyDescent="0.25">
      <c r="B144" s="187"/>
      <c r="C144" s="187"/>
    </row>
    <row r="145" spans="2:14" x14ac:dyDescent="0.25">
      <c r="B145" s="187"/>
      <c r="C145" s="187"/>
    </row>
    <row r="146" spans="2:14" x14ac:dyDescent="0.25">
      <c r="B146" s="187"/>
      <c r="C146" s="187"/>
    </row>
    <row r="147" spans="2:14" ht="24.75" x14ac:dyDescent="0.25">
      <c r="B147" s="94" t="s">
        <v>173</v>
      </c>
      <c r="C147" s="9" t="s">
        <v>174</v>
      </c>
      <c r="D147" s="9"/>
      <c r="E147" s="9"/>
      <c r="F147" s="9" t="s">
        <v>175</v>
      </c>
      <c r="G147" s="9"/>
      <c r="H147" s="9"/>
      <c r="I147" s="9" t="s">
        <v>176</v>
      </c>
      <c r="J147" s="9"/>
      <c r="K147" s="9"/>
      <c r="L147" s="9" t="s">
        <v>177</v>
      </c>
      <c r="M147" s="9"/>
      <c r="N147" s="9"/>
    </row>
    <row r="148" spans="2:14" x14ac:dyDescent="0.25">
      <c r="B148" s="5">
        <v>40</v>
      </c>
      <c r="C148" s="2">
        <f>($K$42*(B148*21))*1.154</f>
        <v>4672.5886206642444</v>
      </c>
      <c r="F148" s="2">
        <f>(C148+$K$65)*0.05</f>
        <v>1190.4766799433455</v>
      </c>
      <c r="I148" s="2">
        <f>(C148+$K$65+F148)*6%</f>
        <v>1500.0006167286153</v>
      </c>
      <c r="L148" s="31">
        <f>(C148+$K$65+F148+I148)*14.25%</f>
        <v>3776.2515526142888</v>
      </c>
      <c r="M148" s="9"/>
      <c r="N148" s="9"/>
    </row>
    <row r="149" spans="2:14" x14ac:dyDescent="0.25">
      <c r="B149" s="5">
        <v>50</v>
      </c>
      <c r="C149" s="2">
        <f t="shared" ref="C149:C160" si="4">($K$42*(B149*21))*1.154</f>
        <v>5840.735775830306</v>
      </c>
      <c r="F149" s="2">
        <f t="shared" ref="F149:F160" si="5">(C149+$K$65)*0.05</f>
        <v>1248.8840377016486</v>
      </c>
      <c r="I149" s="2">
        <f t="shared" ref="I149:I160" si="6">(C149+$K$65+F149)*6%</f>
        <v>1573.593887504077</v>
      </c>
      <c r="L149" s="31">
        <f t="shared" ref="L149:L160" si="7">(C149+$K$65+F149+I149)*14.25%</f>
        <v>3961.5226117915136</v>
      </c>
      <c r="M149" s="9"/>
      <c r="N149" s="9"/>
    </row>
    <row r="150" spans="2:14" x14ac:dyDescent="0.25">
      <c r="B150" s="5">
        <v>60</v>
      </c>
      <c r="C150" s="2">
        <f t="shared" si="4"/>
        <v>7008.8829309963667</v>
      </c>
      <c r="F150" s="2">
        <f t="shared" si="5"/>
        <v>1307.2913954599517</v>
      </c>
      <c r="I150" s="2">
        <f t="shared" si="6"/>
        <v>1647.1871582795388</v>
      </c>
      <c r="L150" s="31">
        <f t="shared" si="7"/>
        <v>4146.7936709687392</v>
      </c>
      <c r="M150" s="9"/>
      <c r="N150" s="9"/>
    </row>
    <row r="151" spans="2:14" x14ac:dyDescent="0.25">
      <c r="B151" s="5">
        <v>70</v>
      </c>
      <c r="C151" s="2">
        <f t="shared" si="4"/>
        <v>8177.0300861624282</v>
      </c>
      <c r="F151" s="2">
        <f t="shared" si="5"/>
        <v>1365.6987532182548</v>
      </c>
      <c r="I151" s="2">
        <f t="shared" si="6"/>
        <v>1720.7804290550007</v>
      </c>
      <c r="L151" s="31">
        <f t="shared" si="7"/>
        <v>4332.0647301459639</v>
      </c>
      <c r="M151" s="9"/>
      <c r="N151" s="9"/>
    </row>
    <row r="152" spans="2:14" x14ac:dyDescent="0.25">
      <c r="B152" s="5">
        <v>80</v>
      </c>
      <c r="C152" s="2">
        <f t="shared" si="4"/>
        <v>9345.1772413284889</v>
      </c>
      <c r="F152" s="2">
        <f t="shared" si="5"/>
        <v>1424.1061109765578</v>
      </c>
      <c r="I152" s="2">
        <f t="shared" si="6"/>
        <v>1794.3736998304626</v>
      </c>
      <c r="L152" s="31">
        <f t="shared" si="7"/>
        <v>4517.3357893231896</v>
      </c>
      <c r="M152" s="9"/>
      <c r="N152" s="9"/>
    </row>
    <row r="153" spans="2:14" x14ac:dyDescent="0.25">
      <c r="B153" s="5">
        <v>90</v>
      </c>
      <c r="C153" s="2">
        <f t="shared" si="4"/>
        <v>10513.32439649455</v>
      </c>
      <c r="F153" s="2">
        <f t="shared" si="5"/>
        <v>1482.5134687348609</v>
      </c>
      <c r="I153" s="2">
        <f t="shared" si="6"/>
        <v>1867.9669706059244</v>
      </c>
      <c r="L153" s="31">
        <f t="shared" si="7"/>
        <v>4702.6068485004143</v>
      </c>
      <c r="M153" s="9"/>
      <c r="N153" s="9"/>
    </row>
    <row r="154" spans="2:14" x14ac:dyDescent="0.25">
      <c r="B154" s="5">
        <v>100</v>
      </c>
      <c r="C154" s="2">
        <f t="shared" si="4"/>
        <v>11681.471551660612</v>
      </c>
      <c r="F154" s="2">
        <f t="shared" si="5"/>
        <v>1540.920826493164</v>
      </c>
      <c r="I154" s="2">
        <f t="shared" si="6"/>
        <v>1941.5602413813863</v>
      </c>
      <c r="L154" s="31">
        <f t="shared" si="7"/>
        <v>4887.8779076776391</v>
      </c>
      <c r="M154" s="9"/>
      <c r="N154" s="9"/>
    </row>
    <row r="155" spans="2:14" x14ac:dyDescent="0.25">
      <c r="B155" s="5">
        <v>110</v>
      </c>
      <c r="C155" s="2">
        <f t="shared" si="4"/>
        <v>12849.618706826674</v>
      </c>
      <c r="F155" s="2">
        <f t="shared" si="5"/>
        <v>1599.3281842514671</v>
      </c>
      <c r="I155" s="2">
        <f t="shared" si="6"/>
        <v>2015.1535121568484</v>
      </c>
      <c r="L155" s="31">
        <f t="shared" si="7"/>
        <v>5073.1489668548647</v>
      </c>
      <c r="M155" s="9"/>
      <c r="N155" s="9"/>
    </row>
    <row r="156" spans="2:14" x14ac:dyDescent="0.25">
      <c r="B156" s="5">
        <v>120</v>
      </c>
      <c r="C156" s="2">
        <f t="shared" si="4"/>
        <v>14017.765861992733</v>
      </c>
      <c r="F156" s="2">
        <f t="shared" si="5"/>
        <v>1657.7355420097699</v>
      </c>
      <c r="I156" s="2">
        <f t="shared" si="6"/>
        <v>2088.7467829323095</v>
      </c>
      <c r="L156" s="31">
        <f t="shared" si="7"/>
        <v>5258.4200260320886</v>
      </c>
      <c r="M156" s="9"/>
      <c r="N156" s="9"/>
    </row>
    <row r="157" spans="2:14" x14ac:dyDescent="0.25">
      <c r="B157" s="5">
        <v>130</v>
      </c>
      <c r="C157" s="2">
        <f t="shared" si="4"/>
        <v>15185.913017158795</v>
      </c>
      <c r="F157" s="2">
        <f t="shared" si="5"/>
        <v>1716.1428997680732</v>
      </c>
      <c r="I157" s="2">
        <f t="shared" si="6"/>
        <v>2162.3400537077719</v>
      </c>
      <c r="L157" s="31">
        <f t="shared" si="7"/>
        <v>5443.6910852093151</v>
      </c>
      <c r="M157" s="9"/>
      <c r="N157" s="9"/>
    </row>
    <row r="158" spans="2:14" x14ac:dyDescent="0.25">
      <c r="B158" s="5">
        <v>140</v>
      </c>
      <c r="C158" s="2">
        <f t="shared" si="4"/>
        <v>16354.060172324856</v>
      </c>
      <c r="F158" s="2">
        <f t="shared" si="5"/>
        <v>1774.5502575263761</v>
      </c>
      <c r="I158" s="2">
        <f t="shared" si="6"/>
        <v>2235.9333244832337</v>
      </c>
      <c r="L158" s="31">
        <f t="shared" si="7"/>
        <v>5628.9621443865399</v>
      </c>
      <c r="M158" s="9"/>
      <c r="N158" s="9"/>
    </row>
    <row r="159" spans="2:14" x14ac:dyDescent="0.25">
      <c r="B159" s="5">
        <v>150</v>
      </c>
      <c r="C159" s="2">
        <f t="shared" si="4"/>
        <v>17522.207327490916</v>
      </c>
      <c r="F159" s="2">
        <f t="shared" si="5"/>
        <v>1832.9576152846794</v>
      </c>
      <c r="I159" s="2">
        <f t="shared" si="6"/>
        <v>2309.5265952586956</v>
      </c>
      <c r="L159" s="31">
        <f t="shared" si="7"/>
        <v>5814.2332035637655</v>
      </c>
      <c r="M159" s="9"/>
      <c r="N159" s="9"/>
    </row>
    <row r="160" spans="2:14" x14ac:dyDescent="0.25">
      <c r="B160" s="5">
        <v>160</v>
      </c>
      <c r="C160" s="2">
        <f t="shared" si="4"/>
        <v>18690.354482656978</v>
      </c>
      <c r="F160" s="2">
        <f t="shared" si="5"/>
        <v>1891.3649730429822</v>
      </c>
      <c r="I160" s="2">
        <f t="shared" si="6"/>
        <v>2383.1198660341574</v>
      </c>
      <c r="L160" s="31">
        <f t="shared" si="7"/>
        <v>5999.5042627409903</v>
      </c>
      <c r="M160" s="9"/>
      <c r="N160" s="9"/>
    </row>
  </sheetData>
  <mergeCells count="121">
    <mergeCell ref="B116:D116"/>
    <mergeCell ref="F116:G116"/>
    <mergeCell ref="L116:N116"/>
    <mergeCell ref="P116:Q116"/>
    <mergeCell ref="B122:C125"/>
    <mergeCell ref="B143:C146"/>
    <mergeCell ref="B113:D113"/>
    <mergeCell ref="L113:N113"/>
    <mergeCell ref="B114:D114"/>
    <mergeCell ref="L114:N114"/>
    <mergeCell ref="B115:C115"/>
    <mergeCell ref="L115:M115"/>
    <mergeCell ref="L109:M109"/>
    <mergeCell ref="P109:Q109"/>
    <mergeCell ref="F110:G110"/>
    <mergeCell ref="P110:Q110"/>
    <mergeCell ref="B112:D112"/>
    <mergeCell ref="F112:G112"/>
    <mergeCell ref="L112:N112"/>
    <mergeCell ref="P112:Q112"/>
    <mergeCell ref="B101:D101"/>
    <mergeCell ref="B102:D102"/>
    <mergeCell ref="B103:C103"/>
    <mergeCell ref="B104:D104"/>
    <mergeCell ref="F104:G104"/>
    <mergeCell ref="B109:C109"/>
    <mergeCell ref="F109:G109"/>
    <mergeCell ref="D95:E95"/>
    <mergeCell ref="B97:C97"/>
    <mergeCell ref="F97:G97"/>
    <mergeCell ref="F98:G98"/>
    <mergeCell ref="B100:D100"/>
    <mergeCell ref="F100:G100"/>
    <mergeCell ref="A79:J79"/>
    <mergeCell ref="A82:I82"/>
    <mergeCell ref="A84:H84"/>
    <mergeCell ref="A85:J85"/>
    <mergeCell ref="A89:J89"/>
    <mergeCell ref="A90:J90"/>
    <mergeCell ref="A74:E74"/>
    <mergeCell ref="A75:F75"/>
    <mergeCell ref="I75:J75"/>
    <mergeCell ref="I76:J76"/>
    <mergeCell ref="I77:J77"/>
    <mergeCell ref="I78:J78"/>
    <mergeCell ref="A65:J65"/>
    <mergeCell ref="A67:I67"/>
    <mergeCell ref="A69:E69"/>
    <mergeCell ref="I69:J69"/>
    <mergeCell ref="C70:F70"/>
    <mergeCell ref="C71:F71"/>
    <mergeCell ref="C54:F54"/>
    <mergeCell ref="C55:F55"/>
    <mergeCell ref="C58:F58"/>
    <mergeCell ref="C60:G60"/>
    <mergeCell ref="C62:E62"/>
    <mergeCell ref="C63:F63"/>
    <mergeCell ref="A49:E49"/>
    <mergeCell ref="H50:I50"/>
    <mergeCell ref="C51:F51"/>
    <mergeCell ref="H51:I51"/>
    <mergeCell ref="C52:F52"/>
    <mergeCell ref="C53:F53"/>
    <mergeCell ref="B41:D41"/>
    <mergeCell ref="F41:H41"/>
    <mergeCell ref="A42:E42"/>
    <mergeCell ref="A43:J43"/>
    <mergeCell ref="A45:J45"/>
    <mergeCell ref="A47:J47"/>
    <mergeCell ref="A36:E36"/>
    <mergeCell ref="B37:D37"/>
    <mergeCell ref="E37:F37"/>
    <mergeCell ref="B38:D38"/>
    <mergeCell ref="B39:D39"/>
    <mergeCell ref="B40:D40"/>
    <mergeCell ref="A28:D28"/>
    <mergeCell ref="E28:F28"/>
    <mergeCell ref="A31:F31"/>
    <mergeCell ref="A32:D32"/>
    <mergeCell ref="E32:F32"/>
    <mergeCell ref="A33:D33"/>
    <mergeCell ref="A25:D25"/>
    <mergeCell ref="E25:F25"/>
    <mergeCell ref="A26:D26"/>
    <mergeCell ref="E26:F26"/>
    <mergeCell ref="A27:D27"/>
    <mergeCell ref="E27:F27"/>
    <mergeCell ref="K18:N18"/>
    <mergeCell ref="A19:F19"/>
    <mergeCell ref="A20:F20"/>
    <mergeCell ref="A23:F23"/>
    <mergeCell ref="A24:D24"/>
    <mergeCell ref="E24:F24"/>
    <mergeCell ref="A16:D16"/>
    <mergeCell ref="E16:F16"/>
    <mergeCell ref="K16:N17"/>
    <mergeCell ref="H21:O22"/>
    <mergeCell ref="O16:O17"/>
    <mergeCell ref="C2:F6"/>
    <mergeCell ref="H3:P5"/>
    <mergeCell ref="F7:H7"/>
    <mergeCell ref="K7:N7"/>
    <mergeCell ref="B8:C8"/>
    <mergeCell ref="I9:P9"/>
    <mergeCell ref="P16:P17"/>
    <mergeCell ref="T17:V17"/>
    <mergeCell ref="A14:D14"/>
    <mergeCell ref="E14:F14"/>
    <mergeCell ref="K14:N15"/>
    <mergeCell ref="O14:O15"/>
    <mergeCell ref="P14:P15"/>
    <mergeCell ref="E15:F15"/>
    <mergeCell ref="A11:F11"/>
    <mergeCell ref="K11:N11"/>
    <mergeCell ref="A12:C12"/>
    <mergeCell ref="E12:F12"/>
    <mergeCell ref="K12:N12"/>
    <mergeCell ref="A13:D13"/>
    <mergeCell ref="E13:F13"/>
    <mergeCell ref="K13:N13"/>
    <mergeCell ref="A9:F9"/>
  </mergeCells>
  <conditionalFormatting sqref="P19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{B946612E-3CF2-4508-B5D5-2C70C2BEE6F6}</x14:id>
        </ext>
      </extLst>
    </cfRule>
  </conditionalFormatting>
  <dataValidations count="3">
    <dataValidation type="list" allowBlank="1" showInputMessage="1" showErrorMessage="1" sqref="E15:F15">
      <formula1>"0,1,2,3,4,5,6,7,8,9,10,11,12,13,14,15"</formula1>
    </dataValidation>
    <dataValidation type="list" allowBlank="1" showInputMessage="1" showErrorMessage="1" sqref="L51">
      <formula1>"LINEAR, MÉTODO COLE"</formula1>
    </dataValidation>
    <dataValidation type="list" allowBlank="1" showInputMessage="1" showErrorMessage="1" sqref="F7:H7 T17:V17">
      <formula1>$Q$119:$Q$122</formula1>
    </dataValidation>
  </dataValidations>
  <pageMargins left="0.51181102362204722" right="0.51181102362204722" top="0.78740157480314965" bottom="0.78740157480314965" header="0.31496062992125984" footer="0.31496062992125984"/>
  <pageSetup paperSize="9" scale="50" orientation="portrait" r:id="rId1"/>
  <ignoredErrors>
    <ignoredError sqref="K60" 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946612E-3CF2-4508-B5D5-2C70C2BEE6F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P19</xm:sqref>
        </x14:conditionalFormatting>
      </x14:conditionalFormattings>
    </ext>
  </extLst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2:V160"/>
  <sheetViews>
    <sheetView tabSelected="1" view="pageBreakPreview" topLeftCell="A58" zoomScale="85" zoomScaleNormal="100" zoomScaleSheetLayoutView="85" workbookViewId="0">
      <selection activeCell="A57" sqref="A57"/>
    </sheetView>
  </sheetViews>
  <sheetFormatPr defaultColWidth="8.85546875" defaultRowHeight="15" x14ac:dyDescent="0.25"/>
  <cols>
    <col min="2" max="2" width="14.140625" customWidth="1"/>
    <col min="3" max="3" width="15.28515625" customWidth="1"/>
    <col min="5" max="5" width="12.42578125" customWidth="1"/>
    <col min="6" max="6" width="13.5703125" customWidth="1"/>
    <col min="7" max="7" width="12.140625" customWidth="1"/>
    <col min="9" max="9" width="10.7109375" customWidth="1"/>
    <col min="10" max="10" width="12.140625" bestFit="1" customWidth="1"/>
    <col min="11" max="11" width="16.42578125" bestFit="1" customWidth="1"/>
    <col min="12" max="12" width="14.42578125" customWidth="1"/>
    <col min="14" max="14" width="6.42578125" customWidth="1"/>
    <col min="15" max="15" width="9" customWidth="1"/>
    <col min="16" max="16" width="10.42578125" customWidth="1"/>
    <col min="17" max="17" width="15.140625" customWidth="1"/>
    <col min="18" max="18" width="14.7109375" bestFit="1" customWidth="1"/>
    <col min="19" max="19" width="19.42578125" bestFit="1" customWidth="1"/>
    <col min="20" max="20" width="11.85546875" bestFit="1" customWidth="1"/>
  </cols>
  <sheetData>
    <row r="2" spans="1:19" x14ac:dyDescent="0.25">
      <c r="C2" s="239" t="s">
        <v>151</v>
      </c>
      <c r="D2" s="240"/>
      <c r="E2" s="240"/>
      <c r="F2" s="240"/>
    </row>
    <row r="3" spans="1:19" x14ac:dyDescent="0.25">
      <c r="C3" s="240"/>
      <c r="D3" s="240"/>
      <c r="E3" s="240"/>
      <c r="F3" s="240"/>
      <c r="H3" s="241" t="s">
        <v>64</v>
      </c>
      <c r="I3" s="239"/>
      <c r="J3" s="239"/>
      <c r="K3" s="239"/>
      <c r="L3" s="239"/>
      <c r="M3" s="239"/>
      <c r="N3" s="239"/>
      <c r="O3" s="239"/>
      <c r="P3" s="239"/>
    </row>
    <row r="4" spans="1:19" x14ac:dyDescent="0.25">
      <c r="C4" s="240"/>
      <c r="D4" s="240"/>
      <c r="E4" s="240"/>
      <c r="F4" s="240"/>
      <c r="H4" s="239"/>
      <c r="I4" s="239"/>
      <c r="J4" s="239"/>
      <c r="K4" s="239"/>
      <c r="L4" s="239"/>
      <c r="M4" s="239"/>
      <c r="N4" s="239"/>
      <c r="O4" s="239"/>
      <c r="P4" s="239"/>
    </row>
    <row r="5" spans="1:19" x14ac:dyDescent="0.25">
      <c r="C5" s="240"/>
      <c r="D5" s="240"/>
      <c r="E5" s="240"/>
      <c r="F5" s="240"/>
      <c r="H5" s="239"/>
      <c r="I5" s="239"/>
      <c r="J5" s="239"/>
      <c r="K5" s="239"/>
      <c r="L5" s="239"/>
      <c r="M5" s="239"/>
      <c r="N5" s="239"/>
      <c r="O5" s="239"/>
      <c r="P5" s="239"/>
    </row>
    <row r="6" spans="1:19" x14ac:dyDescent="0.25">
      <c r="C6" s="240"/>
      <c r="D6" s="240"/>
      <c r="E6" s="240"/>
      <c r="F6" s="240"/>
    </row>
    <row r="7" spans="1:19" ht="21" x14ac:dyDescent="0.35">
      <c r="E7" s="18" t="s">
        <v>80</v>
      </c>
      <c r="F7" s="235" t="s">
        <v>65</v>
      </c>
      <c r="G7" s="235"/>
      <c r="H7" s="235"/>
      <c r="K7" s="242" t="s">
        <v>286</v>
      </c>
      <c r="L7" s="243"/>
      <c r="M7" s="243"/>
      <c r="N7" s="243"/>
    </row>
    <row r="8" spans="1:19" ht="15.75" x14ac:dyDescent="0.25">
      <c r="B8" s="194"/>
      <c r="C8" s="194"/>
      <c r="D8" s="158"/>
      <c r="E8" s="158"/>
      <c r="F8" s="158"/>
      <c r="J8" s="9"/>
    </row>
    <row r="9" spans="1:19" ht="21" x14ac:dyDescent="0.35">
      <c r="A9" s="235" t="s">
        <v>352</v>
      </c>
      <c r="B9" s="235"/>
      <c r="C9" s="235"/>
      <c r="D9" s="235"/>
      <c r="E9" s="235"/>
      <c r="F9" s="235"/>
      <c r="I9" s="244" t="s">
        <v>157</v>
      </c>
      <c r="J9" s="244"/>
      <c r="K9" s="244"/>
      <c r="L9" s="244"/>
      <c r="M9" s="244"/>
      <c r="N9" s="244"/>
      <c r="O9" s="244"/>
      <c r="P9" s="244"/>
      <c r="R9" s="9" t="s">
        <v>155</v>
      </c>
      <c r="S9" s="9" t="s">
        <v>156</v>
      </c>
    </row>
    <row r="10" spans="1:19" x14ac:dyDescent="0.25">
      <c r="R10" s="2">
        <f>K43</f>
        <v>3036.7776997384608</v>
      </c>
      <c r="S10" s="43">
        <f>K45</f>
        <v>3962.7519559427119</v>
      </c>
    </row>
    <row r="11" spans="1:19" ht="17.25" x14ac:dyDescent="0.3">
      <c r="A11" s="236" t="s">
        <v>150</v>
      </c>
      <c r="B11" s="237"/>
      <c r="C11" s="237"/>
      <c r="D11" s="237"/>
      <c r="E11" s="237"/>
      <c r="F11" s="238"/>
      <c r="G11" s="40" t="s">
        <v>0</v>
      </c>
      <c r="K11" s="206" t="s">
        <v>15</v>
      </c>
      <c r="L11" s="206"/>
      <c r="M11" s="206"/>
      <c r="N11" s="206"/>
      <c r="O11" s="46">
        <f>O12+O13</f>
        <v>64</v>
      </c>
      <c r="P11" s="47" t="s">
        <v>14</v>
      </c>
      <c r="R11" s="130">
        <f>K65/O18*O14</f>
        <v>8970.4429585324979</v>
      </c>
      <c r="S11" s="130">
        <f>K65/O18*O16</f>
        <v>10166.502019670164</v>
      </c>
    </row>
    <row r="12" spans="1:19" ht="15.75" x14ac:dyDescent="0.25">
      <c r="A12" s="214" t="s">
        <v>107</v>
      </c>
      <c r="B12" s="215"/>
      <c r="C12" s="215"/>
      <c r="D12" s="48"/>
      <c r="E12" s="218">
        <f>Insumos!$B$4</f>
        <v>531068.38</v>
      </c>
      <c r="F12" s="218"/>
      <c r="G12" s="1"/>
      <c r="K12" s="206" t="s">
        <v>136</v>
      </c>
      <c r="L12" s="206"/>
      <c r="M12" s="206"/>
      <c r="N12" s="206"/>
      <c r="O12" s="150">
        <v>30</v>
      </c>
      <c r="P12" s="47" t="s">
        <v>14</v>
      </c>
      <c r="R12" s="2">
        <f>K72/O18*O14</f>
        <v>828.98363420021076</v>
      </c>
      <c r="S12" s="2">
        <f>K72/O18*O16</f>
        <v>939.51478542690552</v>
      </c>
    </row>
    <row r="13" spans="1:19" ht="15.75" x14ac:dyDescent="0.25">
      <c r="A13" s="214" t="s">
        <v>285</v>
      </c>
      <c r="B13" s="215"/>
      <c r="C13" s="215"/>
      <c r="D13" s="216"/>
      <c r="E13" s="198">
        <f>'DEPRECIAÇÃO LINEAR'!D15</f>
        <v>10</v>
      </c>
      <c r="F13" s="198"/>
      <c r="K13" s="206" t="s">
        <v>137</v>
      </c>
      <c r="L13" s="206"/>
      <c r="M13" s="206"/>
      <c r="N13" s="206"/>
      <c r="O13" s="150">
        <v>34</v>
      </c>
      <c r="P13" s="47" t="s">
        <v>14</v>
      </c>
      <c r="R13" s="2">
        <f>K79/O18*O14</f>
        <v>1238.5981984445289</v>
      </c>
      <c r="S13" s="2">
        <f>K79/O18*O16</f>
        <v>1403.7446249037994</v>
      </c>
    </row>
    <row r="14" spans="1:19" ht="15" customHeight="1" x14ac:dyDescent="0.25">
      <c r="A14" s="214" t="s">
        <v>23</v>
      </c>
      <c r="B14" s="215"/>
      <c r="C14" s="215"/>
      <c r="D14" s="216"/>
      <c r="E14" s="219">
        <v>2026</v>
      </c>
      <c r="F14" s="220"/>
      <c r="K14" s="223" t="s">
        <v>138</v>
      </c>
      <c r="L14" s="223"/>
      <c r="M14" s="223"/>
      <c r="N14" s="223"/>
      <c r="O14" s="232">
        <f>O12*21</f>
        <v>630</v>
      </c>
      <c r="P14" s="234" t="s">
        <v>14</v>
      </c>
      <c r="R14" s="2">
        <f>SUM(R10:R13)</f>
        <v>14074.802490915699</v>
      </c>
      <c r="S14" s="2">
        <f>SUM(S10:S13)</f>
        <v>16472.513385943581</v>
      </c>
    </row>
    <row r="15" spans="1:19" ht="15.75" customHeight="1" x14ac:dyDescent="0.25">
      <c r="A15" s="49" t="s">
        <v>79</v>
      </c>
      <c r="B15" s="48"/>
      <c r="C15" s="48"/>
      <c r="D15" s="48"/>
      <c r="E15" s="198">
        <v>0</v>
      </c>
      <c r="F15" s="198"/>
      <c r="G15" s="41" t="s">
        <v>128</v>
      </c>
      <c r="I15" s="28"/>
      <c r="J15" s="28"/>
      <c r="K15" s="223"/>
      <c r="L15" s="223"/>
      <c r="M15" s="223"/>
      <c r="N15" s="223"/>
      <c r="O15" s="233"/>
      <c r="P15" s="234"/>
      <c r="R15" s="31">
        <f>IFERROR(R14/O14,0)</f>
        <v>22.340956334786824</v>
      </c>
      <c r="S15" s="31">
        <f>IFERROR(S14/O16,0)</f>
        <v>23.070747039136666</v>
      </c>
    </row>
    <row r="16" spans="1:19" ht="15" customHeight="1" x14ac:dyDescent="0.25">
      <c r="A16" s="214" t="s">
        <v>84</v>
      </c>
      <c r="B16" s="215"/>
      <c r="C16" s="215"/>
      <c r="D16" s="215"/>
      <c r="E16" s="198" t="str">
        <f>IF($F$7=$D$95,F104,IF($F$7=$D$107,F116,IF($F$7=$N$95,Q104,IF($F$7=$O$107,P116,""))))</f>
        <v>ATÉ 59 ALUNOS</v>
      </c>
      <c r="F16" s="198"/>
      <c r="I16" s="28"/>
      <c r="J16" s="28"/>
      <c r="K16" s="223" t="s">
        <v>139</v>
      </c>
      <c r="L16" s="223"/>
      <c r="M16" s="223"/>
      <c r="N16" s="223"/>
      <c r="O16" s="232">
        <f>O13*21</f>
        <v>714</v>
      </c>
      <c r="P16" s="234" t="s">
        <v>14</v>
      </c>
    </row>
    <row r="17" spans="1:22" ht="15" customHeight="1" x14ac:dyDescent="0.35">
      <c r="I17" s="28"/>
      <c r="J17" s="28"/>
      <c r="K17" s="223"/>
      <c r="L17" s="223"/>
      <c r="M17" s="223"/>
      <c r="N17" s="223"/>
      <c r="O17" s="233"/>
      <c r="P17" s="234"/>
      <c r="R17" s="2">
        <f>R14+S14</f>
        <v>30547.31587685928</v>
      </c>
      <c r="T17" s="235"/>
      <c r="U17" s="235"/>
      <c r="V17" s="235"/>
    </row>
    <row r="18" spans="1:22" ht="15" customHeight="1" x14ac:dyDescent="0.25">
      <c r="I18" s="28"/>
      <c r="J18" s="28"/>
      <c r="K18" s="223" t="s">
        <v>140</v>
      </c>
      <c r="L18" s="223"/>
      <c r="M18" s="223"/>
      <c r="N18" s="223"/>
      <c r="O18" s="46">
        <f>O16+O14</f>
        <v>1344</v>
      </c>
      <c r="P18" s="47" t="s">
        <v>14</v>
      </c>
      <c r="R18" s="2">
        <f>R17/O18</f>
        <v>22.72865764647268</v>
      </c>
    </row>
    <row r="19" spans="1:22" ht="15.75" customHeight="1" x14ac:dyDescent="0.3">
      <c r="A19" s="224" t="s">
        <v>1</v>
      </c>
      <c r="B19" s="225"/>
      <c r="C19" s="225"/>
      <c r="D19" s="225"/>
      <c r="E19" s="225"/>
      <c r="F19" s="225"/>
      <c r="I19" s="29"/>
      <c r="J19" s="29"/>
      <c r="K19" s="29"/>
      <c r="L19" s="29"/>
      <c r="M19" s="29"/>
    </row>
    <row r="20" spans="1:22" ht="15" customHeight="1" thickBot="1" x14ac:dyDescent="0.3">
      <c r="A20" s="206" t="s">
        <v>106</v>
      </c>
      <c r="B20" s="206"/>
      <c r="C20" s="206"/>
      <c r="D20" s="206"/>
      <c r="E20" s="206"/>
      <c r="F20" s="206"/>
      <c r="I20" s="28"/>
      <c r="J20" s="28"/>
      <c r="K20" s="28"/>
      <c r="L20" s="28"/>
      <c r="M20" s="28"/>
      <c r="O20" s="93">
        <f>K90</f>
        <v>22.72865764647268</v>
      </c>
      <c r="R20" s="93">
        <f>K90</f>
        <v>22.72865764647268</v>
      </c>
    </row>
    <row r="21" spans="1:22" x14ac:dyDescent="0.25">
      <c r="H21" s="285" t="s">
        <v>320</v>
      </c>
      <c r="I21" s="286"/>
      <c r="J21" s="286"/>
      <c r="K21" s="286"/>
      <c r="L21" s="286"/>
      <c r="M21" s="286"/>
      <c r="N21" s="286"/>
      <c r="O21" s="287"/>
    </row>
    <row r="22" spans="1:22" ht="15.75" thickBot="1" x14ac:dyDescent="0.3">
      <c r="H22" s="288"/>
      <c r="I22" s="289"/>
      <c r="J22" s="289"/>
      <c r="K22" s="289"/>
      <c r="L22" s="289"/>
      <c r="M22" s="289"/>
      <c r="N22" s="289"/>
      <c r="O22" s="290"/>
    </row>
    <row r="23" spans="1:22" ht="17.25" x14ac:dyDescent="0.3">
      <c r="A23" s="224" t="s">
        <v>2</v>
      </c>
      <c r="B23" s="225"/>
      <c r="C23" s="225"/>
      <c r="D23" s="225"/>
      <c r="E23" s="225"/>
      <c r="F23" s="225"/>
      <c r="L23" s="2"/>
    </row>
    <row r="24" spans="1:22" ht="15.75" x14ac:dyDescent="0.25">
      <c r="A24" s="214" t="s">
        <v>11</v>
      </c>
      <c r="B24" s="215"/>
      <c r="C24" s="215"/>
      <c r="D24" s="215"/>
      <c r="E24" s="198">
        <f>IF($F$7=$D$95,F100,IF($F$7=$D$107,F112,IF($F$7=$N$95,Q100,IF($F$7=$O$107,P112,""))))</f>
        <v>6</v>
      </c>
      <c r="F24" s="198"/>
    </row>
    <row r="25" spans="1:22" ht="15.75" x14ac:dyDescent="0.25">
      <c r="A25" s="214" t="s">
        <v>9</v>
      </c>
      <c r="B25" s="215"/>
      <c r="C25" s="215"/>
      <c r="D25" s="216"/>
      <c r="E25" s="218">
        <f>Insumos!$B$5</f>
        <v>2453.2399999999998</v>
      </c>
      <c r="F25" s="218"/>
    </row>
    <row r="26" spans="1:22" ht="15.75" x14ac:dyDescent="0.25">
      <c r="A26" s="214" t="s">
        <v>147</v>
      </c>
      <c r="B26" s="215"/>
      <c r="C26" s="215"/>
      <c r="D26" s="216"/>
      <c r="E26" s="219">
        <v>2</v>
      </c>
      <c r="F26" s="220"/>
    </row>
    <row r="27" spans="1:22" ht="15.75" x14ac:dyDescent="0.25">
      <c r="A27" s="214" t="s">
        <v>148</v>
      </c>
      <c r="B27" s="215"/>
      <c r="C27" s="215"/>
      <c r="D27" s="216"/>
      <c r="E27" s="221">
        <f>Insumos!$B$6</f>
        <v>975.83</v>
      </c>
      <c r="F27" s="222"/>
    </row>
    <row r="28" spans="1:22" ht="15.75" x14ac:dyDescent="0.25">
      <c r="A28" s="214" t="s">
        <v>149</v>
      </c>
      <c r="B28" s="215"/>
      <c r="C28" s="215"/>
      <c r="D28" s="216"/>
      <c r="E28" s="217">
        <v>100000</v>
      </c>
      <c r="F28" s="217"/>
    </row>
    <row r="31" spans="1:22" ht="15.75" x14ac:dyDescent="0.25">
      <c r="A31" s="191" t="s">
        <v>3</v>
      </c>
      <c r="B31" s="192"/>
      <c r="C31" s="192"/>
      <c r="D31" s="192"/>
      <c r="E31" s="192"/>
      <c r="F31" s="192"/>
    </row>
    <row r="32" spans="1:22" ht="15.75" x14ac:dyDescent="0.25">
      <c r="A32" s="214" t="s">
        <v>19</v>
      </c>
      <c r="B32" s="215"/>
      <c r="C32" s="215"/>
      <c r="D32" s="216"/>
      <c r="E32" s="218">
        <f>Insumos!$B$7</f>
        <v>7.6</v>
      </c>
      <c r="F32" s="218"/>
    </row>
    <row r="33" spans="1:14" ht="15.75" x14ac:dyDescent="0.25">
      <c r="A33" s="214" t="s">
        <v>17</v>
      </c>
      <c r="B33" s="215"/>
      <c r="C33" s="215"/>
      <c r="D33" s="216"/>
      <c r="E33" s="46">
        <f>IF($F$7=$D$95,G103,IF($F$7=$D$107,G115,IF($F$7=$N$95,Q103,IF($F$7=$O$107,Q115,""))))</f>
        <v>2.6</v>
      </c>
      <c r="F33" s="50" t="s">
        <v>18</v>
      </c>
    </row>
    <row r="36" spans="1:14" ht="17.25" x14ac:dyDescent="0.3">
      <c r="A36" s="208" t="s">
        <v>20</v>
      </c>
      <c r="B36" s="209"/>
      <c r="C36" s="209"/>
      <c r="D36" s="209"/>
      <c r="E36" s="209"/>
    </row>
    <row r="37" spans="1:14" x14ac:dyDescent="0.25">
      <c r="B37" s="210"/>
      <c r="C37" s="210"/>
      <c r="D37" s="211"/>
      <c r="E37" s="212" t="s">
        <v>4</v>
      </c>
      <c r="F37" s="213"/>
    </row>
    <row r="38" spans="1:14" ht="15.75" x14ac:dyDescent="0.25">
      <c r="A38" s="46" t="s">
        <v>346</v>
      </c>
      <c r="B38" s="214" t="s">
        <v>52</v>
      </c>
      <c r="C38" s="215"/>
      <c r="D38" s="216"/>
      <c r="E38" s="46">
        <f>1/E33</f>
        <v>0.38461538461538458</v>
      </c>
      <c r="F38" s="7" t="s">
        <v>5</v>
      </c>
      <c r="G38" s="7"/>
      <c r="H38" s="7"/>
      <c r="I38" s="7"/>
      <c r="J38" s="7"/>
      <c r="K38" s="58">
        <f>E32*E38</f>
        <v>2.9230769230769225</v>
      </c>
      <c r="L38" s="51" t="s">
        <v>13</v>
      </c>
      <c r="N38" s="2"/>
    </row>
    <row r="39" spans="1:14" ht="15.75" x14ac:dyDescent="0.25">
      <c r="A39" s="46" t="s">
        <v>6</v>
      </c>
      <c r="B39" s="206" t="s">
        <v>152</v>
      </c>
      <c r="C39" s="206"/>
      <c r="D39" s="206"/>
      <c r="E39" s="46">
        <v>0.04</v>
      </c>
      <c r="F39" s="7" t="s">
        <v>5</v>
      </c>
      <c r="G39" s="7"/>
      <c r="H39" s="7"/>
      <c r="I39" s="7"/>
      <c r="J39" s="7"/>
      <c r="K39" s="58">
        <f>E39*E32</f>
        <v>0.30399999999999999</v>
      </c>
      <c r="L39" s="51" t="s">
        <v>13</v>
      </c>
    </row>
    <row r="40" spans="1:14" ht="15.75" x14ac:dyDescent="0.25">
      <c r="A40" s="46" t="s">
        <v>7</v>
      </c>
      <c r="B40" s="206" t="s">
        <v>8</v>
      </c>
      <c r="C40" s="206"/>
      <c r="D40" s="206"/>
      <c r="E40" s="46"/>
      <c r="F40" s="7"/>
      <c r="G40" s="7"/>
      <c r="H40" s="7"/>
      <c r="I40" s="7"/>
      <c r="J40" s="7"/>
      <c r="K40" s="58">
        <f>((E25*E24)+(E26*E24*E27))/E28</f>
        <v>0.26429400000000003</v>
      </c>
      <c r="L40" s="51" t="s">
        <v>13</v>
      </c>
    </row>
    <row r="41" spans="1:14" ht="15.75" x14ac:dyDescent="0.25">
      <c r="A41" s="46" t="s">
        <v>12</v>
      </c>
      <c r="B41" s="206" t="s">
        <v>153</v>
      </c>
      <c r="C41" s="206"/>
      <c r="D41" s="206"/>
      <c r="E41" s="70">
        <v>3.0000000000000001E-6</v>
      </c>
      <c r="F41" s="193" t="s">
        <v>10</v>
      </c>
      <c r="G41" s="193"/>
      <c r="H41" s="193"/>
      <c r="I41" s="7"/>
      <c r="J41" s="7"/>
      <c r="K41" s="58">
        <f>(E41*E12)-(K40)</f>
        <v>1.32891114</v>
      </c>
      <c r="L41" s="51" t="s">
        <v>13</v>
      </c>
    </row>
    <row r="42" spans="1:14" ht="15.75" x14ac:dyDescent="0.25">
      <c r="A42" s="207"/>
      <c r="B42" s="207"/>
      <c r="C42" s="207"/>
      <c r="D42" s="207"/>
      <c r="E42" s="207"/>
      <c r="F42" s="7"/>
      <c r="G42" s="7"/>
      <c r="H42" s="7"/>
      <c r="I42" s="7"/>
      <c r="J42" s="7"/>
      <c r="K42" s="58">
        <f>SUM(K38:K41)</f>
        <v>4.8202820630769221</v>
      </c>
      <c r="L42" s="51" t="s">
        <v>13</v>
      </c>
    </row>
    <row r="43" spans="1:14" ht="21" customHeight="1" x14ac:dyDescent="0.25">
      <c r="A43" s="200" t="s">
        <v>144</v>
      </c>
      <c r="B43" s="200"/>
      <c r="C43" s="200"/>
      <c r="D43" s="200"/>
      <c r="E43" s="200"/>
      <c r="F43" s="200"/>
      <c r="G43" s="200"/>
      <c r="H43" s="200"/>
      <c r="I43" s="200"/>
      <c r="J43" s="200"/>
      <c r="K43" s="68">
        <f>K42*O14</f>
        <v>3036.7776997384608</v>
      </c>
      <c r="L43" s="52" t="s">
        <v>16</v>
      </c>
    </row>
    <row r="45" spans="1:14" ht="18.75" x14ac:dyDescent="0.3">
      <c r="A45" s="190" t="s">
        <v>145</v>
      </c>
      <c r="B45" s="190"/>
      <c r="C45" s="190"/>
      <c r="D45" s="190"/>
      <c r="E45" s="190"/>
      <c r="F45" s="190"/>
      <c r="G45" s="190"/>
      <c r="H45" s="190"/>
      <c r="I45" s="190"/>
      <c r="J45" s="190"/>
      <c r="K45" s="65">
        <f>K42*O16*1.1514</f>
        <v>3962.7519559427119</v>
      </c>
      <c r="L45" s="53" t="s">
        <v>16</v>
      </c>
    </row>
    <row r="46" spans="1:14" ht="15.75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</row>
    <row r="47" spans="1:14" ht="18.75" x14ac:dyDescent="0.3">
      <c r="A47" s="190" t="s">
        <v>146</v>
      </c>
      <c r="B47" s="190"/>
      <c r="C47" s="190"/>
      <c r="D47" s="190"/>
      <c r="E47" s="190"/>
      <c r="F47" s="190"/>
      <c r="G47" s="190"/>
      <c r="H47" s="190"/>
      <c r="I47" s="190"/>
      <c r="J47" s="190"/>
      <c r="K47" s="65">
        <f>K43+K45</f>
        <v>6999.5296556811727</v>
      </c>
      <c r="L47" s="54" t="s">
        <v>16</v>
      </c>
    </row>
    <row r="49" spans="1:12" ht="15.75" x14ac:dyDescent="0.25">
      <c r="A49" s="197" t="s">
        <v>21</v>
      </c>
      <c r="B49" s="204"/>
      <c r="C49" s="204"/>
      <c r="D49" s="204"/>
      <c r="E49" s="204"/>
      <c r="F49" s="7"/>
      <c r="G49" s="7"/>
      <c r="H49" s="7"/>
      <c r="I49" s="7"/>
      <c r="J49" s="7"/>
      <c r="K49" s="7"/>
      <c r="L49" s="7"/>
    </row>
    <row r="50" spans="1:12" ht="15.75" x14ac:dyDescent="0.25">
      <c r="A50" s="3"/>
      <c r="B50" s="155"/>
      <c r="C50" s="155"/>
      <c r="D50" s="155"/>
      <c r="E50" s="155"/>
      <c r="F50" s="7"/>
      <c r="G50" s="7"/>
      <c r="H50" s="205" t="s">
        <v>25</v>
      </c>
      <c r="I50" s="205"/>
      <c r="J50" s="7"/>
      <c r="K50" s="7"/>
      <c r="L50" s="7"/>
    </row>
    <row r="51" spans="1:12" ht="15.75" x14ac:dyDescent="0.25">
      <c r="A51" s="7" t="s">
        <v>22</v>
      </c>
      <c r="B51" s="7"/>
      <c r="C51" s="193" t="s">
        <v>24</v>
      </c>
      <c r="D51" s="193"/>
      <c r="E51" s="193"/>
      <c r="F51" s="193"/>
      <c r="G51" s="7"/>
      <c r="H51" s="195"/>
      <c r="I51" s="195"/>
      <c r="J51" s="58"/>
      <c r="K51" s="59">
        <f>IF(L51="LINEAR",'DEPRECIAÇÃO LINEAR'!H23,(VLOOKUP(E15,'DEPRECIAÇÃO LINEAR'!W12:AM25,17,0)))</f>
        <v>3983.0128500000005</v>
      </c>
      <c r="L51" s="55" t="s">
        <v>130</v>
      </c>
    </row>
    <row r="52" spans="1:12" ht="15.75" x14ac:dyDescent="0.25">
      <c r="A52" s="7" t="s">
        <v>26</v>
      </c>
      <c r="B52" s="7"/>
      <c r="C52" s="193" t="s">
        <v>27</v>
      </c>
      <c r="D52" s="193"/>
      <c r="E52" s="193"/>
      <c r="F52" s="193"/>
      <c r="G52" s="7"/>
      <c r="H52" s="7"/>
      <c r="I52" s="7"/>
      <c r="J52" s="58"/>
      <c r="K52" s="58"/>
      <c r="L52" s="7"/>
    </row>
    <row r="53" spans="1:12" ht="15.75" x14ac:dyDescent="0.25">
      <c r="A53" s="7"/>
      <c r="B53" s="7" t="s">
        <v>31</v>
      </c>
      <c r="C53" s="193" t="s">
        <v>28</v>
      </c>
      <c r="D53" s="193"/>
      <c r="E53" s="193"/>
      <c r="F53" s="193"/>
      <c r="G53" s="7"/>
      <c r="H53" s="7"/>
      <c r="I53" s="7"/>
      <c r="J53" s="58"/>
      <c r="K53" s="58">
        <f>'Motorista de Veiculo Pesado'!E90</f>
        <v>8468.4608078400015</v>
      </c>
      <c r="L53" s="7"/>
    </row>
    <row r="54" spans="1:12" ht="15.75" x14ac:dyDescent="0.25">
      <c r="A54" s="7"/>
      <c r="B54" s="7" t="s">
        <v>32</v>
      </c>
      <c r="C54" s="193" t="s">
        <v>29</v>
      </c>
      <c r="D54" s="193"/>
      <c r="E54" s="193"/>
      <c r="F54" s="193"/>
      <c r="G54" s="7"/>
      <c r="H54" s="7"/>
      <c r="I54" s="7"/>
      <c r="J54" s="58"/>
      <c r="K54" s="58">
        <f>'Monitor de Transporte Escolar'!E90</f>
        <v>4485.726463695999</v>
      </c>
      <c r="L54" s="7"/>
    </row>
    <row r="55" spans="1:12" ht="15.75" x14ac:dyDescent="0.25">
      <c r="A55" s="7" t="s">
        <v>30</v>
      </c>
      <c r="B55" s="7"/>
      <c r="C55" s="193" t="s">
        <v>34</v>
      </c>
      <c r="D55" s="193"/>
      <c r="E55" s="193"/>
      <c r="F55" s="193"/>
      <c r="G55" s="7"/>
      <c r="H55" s="7"/>
      <c r="I55" s="7"/>
      <c r="J55" s="58"/>
      <c r="K55" s="58"/>
      <c r="L55" s="157"/>
    </row>
    <row r="56" spans="1:12" ht="15.75" x14ac:dyDescent="0.25">
      <c r="A56" s="7"/>
      <c r="B56" s="7" t="s">
        <v>33</v>
      </c>
      <c r="C56" s="7" t="s">
        <v>35</v>
      </c>
      <c r="D56" s="7"/>
      <c r="E56" s="7"/>
      <c r="F56" s="7"/>
      <c r="G56" s="7"/>
      <c r="H56" s="7"/>
      <c r="I56" s="7"/>
      <c r="J56" s="58">
        <f>1/100*E12</f>
        <v>5310.6837999999998</v>
      </c>
      <c r="K56" s="58">
        <f>J56/12</f>
        <v>442.55698333333333</v>
      </c>
      <c r="L56" s="7"/>
    </row>
    <row r="57" spans="1:12" ht="15.75" x14ac:dyDescent="0.25">
      <c r="A57" s="7"/>
      <c r="B57" s="7" t="s">
        <v>36</v>
      </c>
      <c r="C57" s="7" t="s">
        <v>37</v>
      </c>
      <c r="D57" s="7"/>
      <c r="E57" s="7"/>
      <c r="F57" s="7"/>
      <c r="G57" s="7"/>
      <c r="H57" s="7"/>
      <c r="I57" s="7"/>
      <c r="J57" s="58">
        <v>230.25</v>
      </c>
      <c r="K57" s="58">
        <f>J57/12</f>
        <v>19.1875</v>
      </c>
      <c r="L57" s="7"/>
    </row>
    <row r="58" spans="1:12" ht="15.75" x14ac:dyDescent="0.25">
      <c r="A58" s="7"/>
      <c r="B58" s="7" t="s">
        <v>38</v>
      </c>
      <c r="C58" s="193" t="s">
        <v>39</v>
      </c>
      <c r="D58" s="193"/>
      <c r="E58" s="193"/>
      <c r="F58" s="193"/>
      <c r="G58" s="7"/>
      <c r="H58" s="7"/>
      <c r="I58" s="7"/>
      <c r="J58" s="58">
        <v>161.80000000000001</v>
      </c>
      <c r="K58" s="58">
        <f>J58/12</f>
        <v>13.483333333333334</v>
      </c>
      <c r="L58" s="7"/>
    </row>
    <row r="59" spans="1:12" ht="15.75" x14ac:dyDescent="0.25">
      <c r="A59" s="7" t="s">
        <v>41</v>
      </c>
      <c r="B59" s="7"/>
      <c r="C59" s="7" t="s">
        <v>40</v>
      </c>
      <c r="D59" s="7"/>
      <c r="E59" s="7"/>
      <c r="F59" s="7"/>
      <c r="G59" s="7"/>
      <c r="H59" s="7"/>
      <c r="I59" s="7"/>
      <c r="J59" s="58">
        <v>0</v>
      </c>
      <c r="K59" s="58">
        <f>J59/12</f>
        <v>0</v>
      </c>
      <c r="L59" s="7"/>
    </row>
    <row r="60" spans="1:12" ht="15.75" x14ac:dyDescent="0.25">
      <c r="A60" s="7" t="s">
        <v>57</v>
      </c>
      <c r="B60" s="7"/>
      <c r="C60" s="193" t="s">
        <v>58</v>
      </c>
      <c r="D60" s="193"/>
      <c r="E60" s="193"/>
      <c r="F60" s="193"/>
      <c r="G60" s="193"/>
      <c r="H60" s="7"/>
      <c r="I60" s="7"/>
      <c r="J60" s="58">
        <f>Insumos!$B$8</f>
        <v>350.88</v>
      </c>
      <c r="K60" s="58">
        <f>4*J60</f>
        <v>1403.52</v>
      </c>
      <c r="L60" s="7"/>
    </row>
    <row r="61" spans="1:12" ht="15.75" x14ac:dyDescent="0.25">
      <c r="A61" s="7" t="s">
        <v>60</v>
      </c>
      <c r="B61" s="7"/>
      <c r="C61" s="155" t="s">
        <v>63</v>
      </c>
      <c r="D61" s="155"/>
      <c r="E61" s="155"/>
      <c r="F61" s="155"/>
      <c r="G61" s="155"/>
      <c r="H61" s="7"/>
      <c r="I61" s="7"/>
      <c r="J61" s="58">
        <f>Insumos!$B$9</f>
        <v>2680.95</v>
      </c>
      <c r="K61" s="58">
        <f>J61/12</f>
        <v>223.41249999999999</v>
      </c>
      <c r="L61" s="7"/>
    </row>
    <row r="62" spans="1:12" ht="15.75" x14ac:dyDescent="0.25">
      <c r="A62" s="7" t="s">
        <v>61</v>
      </c>
      <c r="B62" s="7"/>
      <c r="C62" s="193" t="s">
        <v>62</v>
      </c>
      <c r="D62" s="193"/>
      <c r="E62" s="193"/>
      <c r="F62" s="155"/>
      <c r="G62" s="155"/>
      <c r="H62" s="7"/>
      <c r="I62" s="7"/>
      <c r="J62" s="60">
        <f>Insumos!$B$10</f>
        <v>932.23</v>
      </c>
      <c r="K62" s="58">
        <f>J62/12</f>
        <v>77.685833333333335</v>
      </c>
      <c r="L62" s="7"/>
    </row>
    <row r="63" spans="1:12" ht="15.75" x14ac:dyDescent="0.25">
      <c r="A63" s="7" t="s">
        <v>142</v>
      </c>
      <c r="B63" s="7"/>
      <c r="C63" s="203" t="s">
        <v>143</v>
      </c>
      <c r="D63" s="203"/>
      <c r="E63" s="203"/>
      <c r="F63" s="203"/>
      <c r="G63" s="164"/>
      <c r="H63" s="7"/>
      <c r="I63" s="7"/>
      <c r="J63" s="60">
        <f>Insumos!$B$11</f>
        <v>471.82</v>
      </c>
      <c r="K63" s="72">
        <f>J63/24</f>
        <v>19.659166666666668</v>
      </c>
      <c r="L63" s="7"/>
    </row>
    <row r="64" spans="1:12" ht="15.75" x14ac:dyDescent="0.25">
      <c r="A64" s="7" t="s">
        <v>340</v>
      </c>
      <c r="B64" s="7"/>
      <c r="C64" s="165" t="s">
        <v>343</v>
      </c>
      <c r="D64" s="165"/>
      <c r="E64" s="165"/>
      <c r="F64" s="165"/>
      <c r="G64" s="164"/>
      <c r="H64" s="7"/>
      <c r="I64" s="7"/>
      <c r="J64" s="60">
        <f>Insumos!$B$12</f>
        <v>14.372399999999997</v>
      </c>
      <c r="K64" s="72">
        <f>J64/60</f>
        <v>0.23953999999999995</v>
      </c>
      <c r="L64" s="7"/>
    </row>
    <row r="65" spans="1:20" ht="20.25" customHeight="1" x14ac:dyDescent="0.25">
      <c r="A65" s="259" t="s">
        <v>43</v>
      </c>
      <c r="B65" s="260"/>
      <c r="C65" s="260"/>
      <c r="D65" s="260"/>
      <c r="E65" s="260"/>
      <c r="F65" s="260"/>
      <c r="G65" s="260"/>
      <c r="H65" s="260"/>
      <c r="I65" s="260"/>
      <c r="J65" s="261"/>
      <c r="K65" s="67">
        <f>SUM(K51:K64)</f>
        <v>19136.944978202664</v>
      </c>
      <c r="L65" s="57" t="s">
        <v>16</v>
      </c>
      <c r="M65" s="4"/>
    </row>
    <row r="67" spans="1:20" ht="19.5" customHeight="1" x14ac:dyDescent="0.3">
      <c r="A67" s="262" t="s">
        <v>132</v>
      </c>
      <c r="B67" s="263"/>
      <c r="C67" s="263"/>
      <c r="D67" s="263"/>
      <c r="E67" s="263"/>
      <c r="F67" s="263"/>
      <c r="G67" s="263"/>
      <c r="H67" s="263"/>
      <c r="I67" s="264"/>
      <c r="K67" s="66">
        <f>K47+K65</f>
        <v>26136.474633883838</v>
      </c>
    </row>
    <row r="69" spans="1:20" ht="15.75" x14ac:dyDescent="0.25">
      <c r="A69" s="254" t="s">
        <v>133</v>
      </c>
      <c r="B69" s="255"/>
      <c r="C69" s="255"/>
      <c r="D69" s="255"/>
      <c r="E69" s="256"/>
      <c r="I69" s="265" t="s">
        <v>55</v>
      </c>
      <c r="J69" s="266"/>
    </row>
    <row r="70" spans="1:20" ht="15.75" x14ac:dyDescent="0.25">
      <c r="A70" s="7" t="s">
        <v>341</v>
      </c>
      <c r="B70" s="7"/>
      <c r="C70" s="193" t="s">
        <v>54</v>
      </c>
      <c r="D70" s="193"/>
      <c r="E70" s="193"/>
      <c r="F70" s="193"/>
      <c r="G70" s="7"/>
      <c r="H70" s="7"/>
      <c r="I70" s="168">
        <f>Insumos!$B$15</f>
        <v>2.6599999999999999E-2</v>
      </c>
      <c r="J70" s="7"/>
      <c r="K70" s="58">
        <f>I70*K67</f>
        <v>695.23022526131001</v>
      </c>
      <c r="L70" s="7"/>
    </row>
    <row r="71" spans="1:20" ht="15.75" x14ac:dyDescent="0.25">
      <c r="A71" s="7" t="s">
        <v>342</v>
      </c>
      <c r="B71" s="7"/>
      <c r="C71" s="193" t="s">
        <v>59</v>
      </c>
      <c r="D71" s="193"/>
      <c r="E71" s="193"/>
      <c r="F71" s="193"/>
      <c r="G71" s="7"/>
      <c r="H71" s="7"/>
      <c r="I71" s="169">
        <f>Insumos!$B$16</f>
        <v>0.04</v>
      </c>
      <c r="J71" s="7"/>
      <c r="K71" s="58">
        <f>I71*(K67+K70)</f>
        <v>1073.268194365806</v>
      </c>
      <c r="L71" s="7"/>
    </row>
    <row r="72" spans="1:20" ht="18.75" x14ac:dyDescent="0.3">
      <c r="A72" s="7"/>
      <c r="B72" s="7"/>
      <c r="C72" s="7"/>
      <c r="D72" s="7"/>
      <c r="E72" s="7"/>
      <c r="F72" s="7"/>
      <c r="G72" s="7"/>
      <c r="H72" s="7"/>
      <c r="I72" s="7"/>
      <c r="J72" s="61" t="s">
        <v>131</v>
      </c>
      <c r="K72" s="65">
        <f>SUM(K70:K71)</f>
        <v>1768.4984196271162</v>
      </c>
      <c r="L72" s="54" t="s">
        <v>16</v>
      </c>
    </row>
    <row r="73" spans="1:20" x14ac:dyDescent="0.25">
      <c r="R73" s="135"/>
    </row>
    <row r="74" spans="1:20" ht="15.75" x14ac:dyDescent="0.25">
      <c r="A74" s="254" t="s">
        <v>134</v>
      </c>
      <c r="B74" s="255"/>
      <c r="C74" s="255"/>
      <c r="D74" s="255"/>
      <c r="E74" s="256"/>
      <c r="F74" s="7"/>
      <c r="G74" s="7"/>
      <c r="H74" s="7"/>
      <c r="I74" s="7"/>
      <c r="J74" s="7"/>
      <c r="K74" s="7"/>
      <c r="L74" s="7"/>
    </row>
    <row r="75" spans="1:20" ht="15.75" x14ac:dyDescent="0.25">
      <c r="A75" s="193" t="s">
        <v>42</v>
      </c>
      <c r="B75" s="193"/>
      <c r="C75" s="193"/>
      <c r="D75" s="193"/>
      <c r="E75" s="193"/>
      <c r="F75" s="193"/>
      <c r="G75" s="7"/>
      <c r="H75" s="7"/>
      <c r="I75" s="219" t="s">
        <v>47</v>
      </c>
      <c r="J75" s="220"/>
      <c r="K75" s="51">
        <f>K67+K72</f>
        <v>27904.973053510956</v>
      </c>
      <c r="L75" s="7"/>
      <c r="S75" s="2"/>
    </row>
    <row r="76" spans="1:20" ht="15.75" x14ac:dyDescent="0.25">
      <c r="A76" s="7" t="s">
        <v>53</v>
      </c>
      <c r="C76" s="7" t="s">
        <v>44</v>
      </c>
      <c r="D76" s="7"/>
      <c r="E76" s="7"/>
      <c r="F76" s="7"/>
      <c r="G76" s="7"/>
      <c r="H76" s="7"/>
      <c r="I76" s="257">
        <f>Insumos!$B$18</f>
        <v>0.05</v>
      </c>
      <c r="J76" s="258"/>
      <c r="K76" s="51">
        <f>$K$75/(1-(SUM($I$76:$J$78)))*I76</f>
        <v>1527.3657938429642</v>
      </c>
      <c r="L76" s="7"/>
      <c r="R76" s="377"/>
      <c r="S76" s="2"/>
      <c r="T76" s="2"/>
    </row>
    <row r="77" spans="1:20" ht="15.75" x14ac:dyDescent="0.25">
      <c r="A77" s="7" t="s">
        <v>344</v>
      </c>
      <c r="C77" s="7" t="s">
        <v>45</v>
      </c>
      <c r="D77" s="7"/>
      <c r="E77" s="7"/>
      <c r="F77" s="7"/>
      <c r="G77" s="7"/>
      <c r="H77" s="7"/>
      <c r="I77" s="257">
        <f>Insumos!$B$19</f>
        <v>6.4999999999999997E-3</v>
      </c>
      <c r="J77" s="258"/>
      <c r="K77" s="51">
        <f>$K$75/(1-(SUM($I$76:$J$78)))*I77</f>
        <v>198.55755319958533</v>
      </c>
      <c r="L77" s="7"/>
      <c r="R77" s="377"/>
      <c r="S77" s="2"/>
      <c r="T77" s="2"/>
    </row>
    <row r="78" spans="1:20" ht="15.75" x14ac:dyDescent="0.25">
      <c r="A78" s="7" t="s">
        <v>345</v>
      </c>
      <c r="C78" s="7" t="s">
        <v>46</v>
      </c>
      <c r="D78" s="7"/>
      <c r="E78" s="7"/>
      <c r="F78" s="7"/>
      <c r="G78" s="7"/>
      <c r="H78" s="7"/>
      <c r="I78" s="257">
        <f>Insumos!$B$20</f>
        <v>0.03</v>
      </c>
      <c r="J78" s="258"/>
      <c r="K78" s="51">
        <f>$K$75/(1-(SUM($I$76:$J$78)))*I78</f>
        <v>916.41947630577852</v>
      </c>
      <c r="L78" s="7"/>
      <c r="R78" s="377"/>
      <c r="S78" s="2"/>
      <c r="T78" s="2"/>
    </row>
    <row r="79" spans="1:20" ht="21" customHeight="1" x14ac:dyDescent="0.3">
      <c r="A79" s="251" t="s">
        <v>48</v>
      </c>
      <c r="B79" s="252"/>
      <c r="C79" s="252"/>
      <c r="D79" s="252"/>
      <c r="E79" s="252"/>
      <c r="F79" s="252"/>
      <c r="G79" s="252"/>
      <c r="H79" s="252"/>
      <c r="I79" s="252"/>
      <c r="J79" s="253"/>
      <c r="K79" s="64">
        <f>SUM(K76:K78)</f>
        <v>2642.3428233483282</v>
      </c>
      <c r="L79" s="54" t="s">
        <v>16</v>
      </c>
      <c r="T79" s="2"/>
    </row>
    <row r="80" spans="1:20" x14ac:dyDescent="0.25">
      <c r="T80" s="2"/>
    </row>
    <row r="81" spans="1:20" x14ac:dyDescent="0.25">
      <c r="C81" s="5"/>
      <c r="D81" s="5"/>
      <c r="E81" s="5"/>
      <c r="F81" s="5"/>
      <c r="K81" s="2"/>
      <c r="R81" s="176"/>
      <c r="S81" s="2"/>
    </row>
    <row r="82" spans="1:20" ht="15.75" x14ac:dyDescent="0.25">
      <c r="A82" s="191" t="s">
        <v>56</v>
      </c>
      <c r="B82" s="191"/>
      <c r="C82" s="191"/>
      <c r="D82" s="191"/>
      <c r="E82" s="191"/>
      <c r="F82" s="191"/>
      <c r="G82" s="191"/>
      <c r="H82" s="191"/>
      <c r="I82" s="191"/>
      <c r="T82" s="43"/>
    </row>
    <row r="83" spans="1:20" ht="15.75" x14ac:dyDescent="0.25">
      <c r="A83" s="156"/>
      <c r="B83" s="156"/>
      <c r="C83" s="156"/>
      <c r="D83" s="156"/>
      <c r="E83" s="156"/>
      <c r="F83" s="156"/>
      <c r="G83" s="156"/>
      <c r="H83" s="156"/>
      <c r="I83" s="156"/>
    </row>
    <row r="84" spans="1:20" ht="15.75" x14ac:dyDescent="0.25">
      <c r="A84" s="191" t="s">
        <v>51</v>
      </c>
      <c r="B84" s="192"/>
      <c r="C84" s="192"/>
      <c r="D84" s="192"/>
      <c r="E84" s="192"/>
      <c r="F84" s="192"/>
      <c r="G84" s="192"/>
      <c r="H84" s="192"/>
    </row>
    <row r="85" spans="1:20" ht="20.25" customHeight="1" x14ac:dyDescent="0.3">
      <c r="A85" s="193" t="s">
        <v>135</v>
      </c>
      <c r="B85" s="193"/>
      <c r="C85" s="193"/>
      <c r="D85" s="193"/>
      <c r="E85" s="193"/>
      <c r="F85" s="193"/>
      <c r="G85" s="193"/>
      <c r="H85" s="193"/>
      <c r="I85" s="193"/>
      <c r="J85" s="193"/>
      <c r="K85" s="62">
        <f>K67+K72+K79</f>
        <v>30547.315876859284</v>
      </c>
      <c r="S85" s="2"/>
    </row>
    <row r="86" spans="1:20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2"/>
    </row>
    <row r="87" spans="1:20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2"/>
      <c r="P87" s="42"/>
    </row>
    <row r="88" spans="1:20" ht="8.25" customHeight="1" x14ac:dyDescent="0.25"/>
    <row r="89" spans="1:20" ht="16.5" customHeight="1" x14ac:dyDescent="0.25">
      <c r="A89" s="194" t="s">
        <v>49</v>
      </c>
      <c r="B89" s="195"/>
      <c r="C89" s="195"/>
      <c r="D89" s="195"/>
      <c r="E89" s="195"/>
      <c r="F89" s="195"/>
      <c r="G89" s="195"/>
      <c r="H89" s="195"/>
      <c r="I89" s="195"/>
      <c r="J89" s="195"/>
      <c r="K89" s="7"/>
      <c r="L89" s="7"/>
    </row>
    <row r="90" spans="1:20" ht="24.75" customHeight="1" x14ac:dyDescent="0.3">
      <c r="A90" s="196" t="s">
        <v>141</v>
      </c>
      <c r="B90" s="196"/>
      <c r="C90" s="196"/>
      <c r="D90" s="196"/>
      <c r="E90" s="196"/>
      <c r="F90" s="196"/>
      <c r="G90" s="196"/>
      <c r="H90" s="196"/>
      <c r="I90" s="196"/>
      <c r="J90" s="196"/>
      <c r="K90" s="71">
        <f>K85/O18</f>
        <v>22.72865764647268</v>
      </c>
      <c r="L90" s="63" t="s">
        <v>50</v>
      </c>
    </row>
    <row r="94" spans="1:20" s="10" customFormat="1" x14ac:dyDescent="0.25"/>
    <row r="95" spans="1:20" s="11" customFormat="1" ht="18.75" x14ac:dyDescent="0.3">
      <c r="B95" s="12" t="s">
        <v>69</v>
      </c>
      <c r="D95" s="188" t="s">
        <v>65</v>
      </c>
      <c r="E95" s="188"/>
      <c r="L95" s="12" t="s">
        <v>69</v>
      </c>
      <c r="M95" s="12"/>
      <c r="N95" s="12" t="s">
        <v>75</v>
      </c>
      <c r="O95" s="12"/>
    </row>
    <row r="96" spans="1:20" s="11" customFormat="1" x14ac:dyDescent="0.25"/>
    <row r="97" spans="2:18" s="11" customFormat="1" x14ac:dyDescent="0.25">
      <c r="B97" s="184" t="s">
        <v>66</v>
      </c>
      <c r="C97" s="184"/>
      <c r="D97" s="13"/>
      <c r="E97" s="13"/>
      <c r="F97" s="189">
        <v>288912</v>
      </c>
      <c r="G97" s="189"/>
      <c r="L97" s="13" t="s">
        <v>66</v>
      </c>
      <c r="M97" s="13"/>
      <c r="N97" s="13"/>
      <c r="O97" s="13"/>
      <c r="P97" s="13"/>
      <c r="Q97" s="30">
        <v>271500</v>
      </c>
    </row>
    <row r="98" spans="2:18" s="11" customFormat="1" x14ac:dyDescent="0.25">
      <c r="B98" s="13" t="s">
        <v>67</v>
      </c>
      <c r="D98" s="13"/>
      <c r="E98" s="13"/>
      <c r="F98" s="185">
        <v>10</v>
      </c>
      <c r="G98" s="185"/>
      <c r="H98" s="11" t="s">
        <v>154</v>
      </c>
      <c r="L98" s="13" t="s">
        <v>67</v>
      </c>
      <c r="M98" s="13"/>
      <c r="N98" s="13"/>
      <c r="O98" s="13"/>
      <c r="P98" s="13"/>
      <c r="Q98" s="13">
        <v>10</v>
      </c>
      <c r="R98" s="11" t="s">
        <v>154</v>
      </c>
    </row>
    <row r="99" spans="2:18" s="11" customFormat="1" x14ac:dyDescent="0.25">
      <c r="B99" s="13" t="s">
        <v>81</v>
      </c>
      <c r="D99" s="13"/>
      <c r="E99" s="13"/>
      <c r="F99" s="153"/>
      <c r="G99" s="153">
        <v>2018</v>
      </c>
      <c r="L99" s="13" t="s">
        <v>81</v>
      </c>
      <c r="N99" s="13"/>
      <c r="O99" s="13"/>
      <c r="P99" s="153"/>
      <c r="Q99" s="153">
        <v>2018</v>
      </c>
    </row>
    <row r="100" spans="2:18" s="11" customFormat="1" x14ac:dyDescent="0.25">
      <c r="B100" s="184" t="s">
        <v>68</v>
      </c>
      <c r="C100" s="184"/>
      <c r="D100" s="184"/>
      <c r="F100" s="185">
        <v>6</v>
      </c>
      <c r="G100" s="185"/>
      <c r="L100" s="13" t="s">
        <v>76</v>
      </c>
      <c r="M100" s="13"/>
      <c r="N100" s="13"/>
      <c r="O100" s="13"/>
      <c r="P100" s="13"/>
      <c r="Q100" s="13">
        <v>6</v>
      </c>
    </row>
    <row r="101" spans="2:18" s="11" customFormat="1" x14ac:dyDescent="0.25">
      <c r="B101" s="184" t="s">
        <v>71</v>
      </c>
      <c r="C101" s="184"/>
      <c r="D101" s="184"/>
      <c r="F101" s="153"/>
      <c r="G101" s="17">
        <v>100000</v>
      </c>
      <c r="L101" s="13" t="s">
        <v>71</v>
      </c>
      <c r="M101" s="13"/>
      <c r="N101" s="13"/>
      <c r="O101" s="13"/>
      <c r="P101" s="13"/>
      <c r="Q101" s="19">
        <v>100000</v>
      </c>
    </row>
    <row r="102" spans="2:18" s="11" customFormat="1" x14ac:dyDescent="0.25">
      <c r="B102" s="184" t="s">
        <v>72</v>
      </c>
      <c r="C102" s="184"/>
      <c r="D102" s="184"/>
      <c r="F102" s="153"/>
      <c r="G102" s="154">
        <v>1533.77</v>
      </c>
      <c r="L102" s="13" t="s">
        <v>72</v>
      </c>
      <c r="M102" s="13"/>
      <c r="N102" s="13"/>
      <c r="O102" s="13"/>
      <c r="P102" s="13"/>
      <c r="Q102" s="69">
        <v>860.69</v>
      </c>
    </row>
    <row r="103" spans="2:18" s="11" customFormat="1" x14ac:dyDescent="0.25">
      <c r="B103" s="184" t="s">
        <v>73</v>
      </c>
      <c r="C103" s="184"/>
      <c r="D103" s="152"/>
      <c r="F103" s="153"/>
      <c r="G103" s="153">
        <v>2.6</v>
      </c>
      <c r="H103" s="13" t="s">
        <v>74</v>
      </c>
      <c r="L103" s="13" t="s">
        <v>73</v>
      </c>
      <c r="M103" s="13"/>
      <c r="N103" s="13"/>
      <c r="O103" s="13"/>
      <c r="P103" s="13"/>
      <c r="Q103" s="13">
        <v>4.7</v>
      </c>
    </row>
    <row r="104" spans="2:18" s="11" customFormat="1" x14ac:dyDescent="0.25">
      <c r="B104" s="184" t="s">
        <v>70</v>
      </c>
      <c r="C104" s="184"/>
      <c r="D104" s="184"/>
      <c r="F104" s="185" t="s">
        <v>125</v>
      </c>
      <c r="G104" s="185"/>
      <c r="L104" s="13" t="s">
        <v>70</v>
      </c>
      <c r="M104" s="13"/>
      <c r="N104" s="13"/>
      <c r="O104" s="13"/>
      <c r="P104" s="13"/>
      <c r="Q104" s="13" t="s">
        <v>124</v>
      </c>
    </row>
    <row r="105" spans="2:18" s="11" customFormat="1" x14ac:dyDescent="0.25"/>
    <row r="106" spans="2:18" s="11" customFormat="1" x14ac:dyDescent="0.25"/>
    <row r="107" spans="2:18" s="11" customFormat="1" ht="18.75" x14ac:dyDescent="0.3">
      <c r="B107" s="12" t="s">
        <v>69</v>
      </c>
      <c r="C107" s="12"/>
      <c r="D107" s="12" t="s">
        <v>77</v>
      </c>
      <c r="E107" s="13"/>
      <c r="F107" s="13"/>
      <c r="G107" s="13"/>
      <c r="H107" s="13"/>
      <c r="L107" s="12" t="s">
        <v>69</v>
      </c>
      <c r="M107" s="16"/>
      <c r="N107" s="16"/>
      <c r="O107" s="12" t="s">
        <v>78</v>
      </c>
    </row>
    <row r="108" spans="2:18" s="11" customFormat="1" x14ac:dyDescent="0.25">
      <c r="B108" s="13"/>
      <c r="C108" s="13"/>
      <c r="D108" s="13"/>
      <c r="E108" s="13"/>
      <c r="F108" s="13"/>
      <c r="G108" s="13"/>
      <c r="H108" s="13"/>
    </row>
    <row r="109" spans="2:18" s="11" customFormat="1" x14ac:dyDescent="0.25">
      <c r="B109" s="184" t="s">
        <v>66</v>
      </c>
      <c r="C109" s="184"/>
      <c r="D109" s="13"/>
      <c r="E109" s="13"/>
      <c r="F109" s="185">
        <v>400</v>
      </c>
      <c r="G109" s="185"/>
      <c r="H109" s="13"/>
      <c r="L109" s="184" t="s">
        <v>66</v>
      </c>
      <c r="M109" s="184"/>
      <c r="N109" s="13"/>
      <c r="O109" s="13"/>
      <c r="P109" s="185" t="s">
        <v>78</v>
      </c>
      <c r="Q109" s="185"/>
      <c r="R109" s="13"/>
    </row>
    <row r="110" spans="2:18" s="11" customFormat="1" x14ac:dyDescent="0.25">
      <c r="B110" s="13" t="s">
        <v>67</v>
      </c>
      <c r="C110" s="13"/>
      <c r="D110" s="13"/>
      <c r="E110" s="13"/>
      <c r="F110" s="185">
        <v>10</v>
      </c>
      <c r="G110" s="185"/>
      <c r="H110" s="13" t="s">
        <v>154</v>
      </c>
      <c r="L110" s="13" t="s">
        <v>67</v>
      </c>
      <c r="M110" s="13"/>
      <c r="N110" s="13"/>
      <c r="O110" s="13"/>
      <c r="P110" s="185">
        <v>8</v>
      </c>
      <c r="Q110" s="185"/>
      <c r="R110" s="13" t="s">
        <v>154</v>
      </c>
    </row>
    <row r="111" spans="2:18" s="11" customFormat="1" x14ac:dyDescent="0.25">
      <c r="B111" s="13" t="s">
        <v>81</v>
      </c>
      <c r="D111" s="13"/>
      <c r="E111" s="13"/>
      <c r="F111" s="153"/>
      <c r="G111" s="153" t="s">
        <v>82</v>
      </c>
      <c r="L111" s="13" t="s">
        <v>81</v>
      </c>
      <c r="N111" s="13"/>
      <c r="O111" s="13"/>
      <c r="P111" s="153"/>
      <c r="Q111" s="153" t="s">
        <v>83</v>
      </c>
      <c r="R111" s="13"/>
    </row>
    <row r="112" spans="2:18" s="11" customFormat="1" x14ac:dyDescent="0.25">
      <c r="B112" s="184" t="s">
        <v>68</v>
      </c>
      <c r="C112" s="184"/>
      <c r="D112" s="184"/>
      <c r="E112" s="13"/>
      <c r="F112" s="185" t="s">
        <v>87</v>
      </c>
      <c r="G112" s="185"/>
      <c r="H112" s="13"/>
      <c r="L112" s="184" t="s">
        <v>68</v>
      </c>
      <c r="M112" s="184"/>
      <c r="N112" s="184"/>
      <c r="O112" s="13"/>
      <c r="P112" s="185" t="s">
        <v>88</v>
      </c>
      <c r="Q112" s="185"/>
      <c r="R112" s="13"/>
    </row>
    <row r="113" spans="2:21" s="11" customFormat="1" x14ac:dyDescent="0.25">
      <c r="B113" s="184" t="s">
        <v>71</v>
      </c>
      <c r="C113" s="184"/>
      <c r="D113" s="184"/>
      <c r="E113" s="13"/>
      <c r="F113" s="153"/>
      <c r="G113" s="153" t="s">
        <v>89</v>
      </c>
      <c r="H113" s="13"/>
      <c r="L113" s="184" t="s">
        <v>71</v>
      </c>
      <c r="M113" s="184"/>
      <c r="N113" s="184"/>
      <c r="O113" s="13"/>
      <c r="P113" s="153"/>
      <c r="Q113" s="153" t="s">
        <v>90</v>
      </c>
      <c r="R113" s="13"/>
    </row>
    <row r="114" spans="2:21" s="11" customFormat="1" x14ac:dyDescent="0.25">
      <c r="B114" s="184" t="s">
        <v>72</v>
      </c>
      <c r="C114" s="184"/>
      <c r="D114" s="184"/>
      <c r="E114" s="13"/>
      <c r="F114" s="153"/>
      <c r="G114" s="153">
        <v>400</v>
      </c>
      <c r="H114" s="13"/>
      <c r="L114" s="184" t="s">
        <v>72</v>
      </c>
      <c r="M114" s="184"/>
      <c r="N114" s="184"/>
      <c r="O114" s="13"/>
      <c r="P114" s="153"/>
      <c r="Q114" s="153">
        <v>4444</v>
      </c>
      <c r="R114" s="13"/>
    </row>
    <row r="115" spans="2:21" s="11" customFormat="1" x14ac:dyDescent="0.25">
      <c r="B115" s="184" t="s">
        <v>73</v>
      </c>
      <c r="C115" s="184"/>
      <c r="D115" s="152"/>
      <c r="E115" s="13"/>
      <c r="F115" s="153"/>
      <c r="G115" s="153">
        <v>2</v>
      </c>
      <c r="H115" s="13" t="s">
        <v>74</v>
      </c>
      <c r="L115" s="184" t="s">
        <v>73</v>
      </c>
      <c r="M115" s="184"/>
      <c r="N115" s="152"/>
      <c r="O115" s="13"/>
      <c r="P115" s="153"/>
      <c r="Q115" s="153">
        <v>4</v>
      </c>
      <c r="R115" s="13" t="s">
        <v>74</v>
      </c>
    </row>
    <row r="116" spans="2:21" s="11" customFormat="1" x14ac:dyDescent="0.25">
      <c r="B116" s="184" t="s">
        <v>70</v>
      </c>
      <c r="C116" s="184"/>
      <c r="D116" s="184"/>
      <c r="E116" s="13"/>
      <c r="F116" s="185" t="s">
        <v>85</v>
      </c>
      <c r="G116" s="185"/>
      <c r="H116" s="13"/>
      <c r="L116" s="184" t="s">
        <v>70</v>
      </c>
      <c r="M116" s="184"/>
      <c r="N116" s="184"/>
      <c r="O116" s="13"/>
      <c r="P116" s="185" t="s">
        <v>86</v>
      </c>
      <c r="Q116" s="185"/>
      <c r="R116" s="13"/>
    </row>
    <row r="117" spans="2:21" s="11" customFormat="1" x14ac:dyDescent="0.25"/>
    <row r="118" spans="2:21" s="11" customFormat="1" x14ac:dyDescent="0.25"/>
    <row r="119" spans="2:21" s="11" customFormat="1" ht="18.75" x14ac:dyDescent="0.3">
      <c r="Q119" s="12" t="s">
        <v>65</v>
      </c>
      <c r="R119" s="12"/>
      <c r="T119" s="13" t="s">
        <v>130</v>
      </c>
      <c r="U119" s="13"/>
    </row>
    <row r="120" spans="2:21" s="11" customFormat="1" ht="18.75" x14ac:dyDescent="0.3">
      <c r="Q120" s="12" t="s">
        <v>75</v>
      </c>
      <c r="T120" s="13" t="s">
        <v>129</v>
      </c>
      <c r="U120" s="13"/>
    </row>
    <row r="121" spans="2:21" s="11" customFormat="1" ht="18.75" x14ac:dyDescent="0.3">
      <c r="Q121" s="12" t="s">
        <v>77</v>
      </c>
    </row>
    <row r="122" spans="2:21" s="11" customFormat="1" ht="18" customHeight="1" x14ac:dyDescent="0.3">
      <c r="B122" s="186" t="s">
        <v>172</v>
      </c>
      <c r="C122" s="186"/>
      <c r="Q122" s="12" t="s">
        <v>78</v>
      </c>
    </row>
    <row r="123" spans="2:21" ht="0.75" hidden="1" customHeight="1" x14ac:dyDescent="0.25">
      <c r="B123" s="186"/>
      <c r="C123" s="186"/>
    </row>
    <row r="124" spans="2:21" hidden="1" x14ac:dyDescent="0.25">
      <c r="B124" s="186"/>
      <c r="C124" s="186"/>
    </row>
    <row r="125" spans="2:21" x14ac:dyDescent="0.25">
      <c r="B125" s="186"/>
      <c r="C125" s="186"/>
    </row>
    <row r="126" spans="2:21" ht="24.75" x14ac:dyDescent="0.25">
      <c r="B126" s="94" t="s">
        <v>173</v>
      </c>
      <c r="C126" s="9" t="s">
        <v>174</v>
      </c>
      <c r="D126" s="9"/>
      <c r="E126" s="9"/>
      <c r="F126" s="9" t="s">
        <v>175</v>
      </c>
      <c r="G126" s="9"/>
      <c r="H126" s="9"/>
      <c r="I126" s="9" t="s">
        <v>176</v>
      </c>
      <c r="J126" s="9"/>
      <c r="K126" s="9"/>
      <c r="L126" s="9" t="s">
        <v>177</v>
      </c>
      <c r="M126" s="9"/>
      <c r="N126" s="9"/>
    </row>
    <row r="127" spans="2:21" x14ac:dyDescent="0.25">
      <c r="B127" s="5">
        <v>40</v>
      </c>
      <c r="C127" s="2">
        <f>$K$42*(B127*21)</f>
        <v>4049.0369329846144</v>
      </c>
      <c r="F127" s="2">
        <f>(C127+$K$65)*0.05</f>
        <v>1159.2990955593639</v>
      </c>
      <c r="I127" s="2">
        <f>(C127+$K$65+F127)*6%</f>
        <v>1460.7168604047984</v>
      </c>
      <c r="L127" s="31">
        <f>(C127+$K$65+F127+I127)*14.25%</f>
        <v>3677.3546960690801</v>
      </c>
      <c r="M127" s="9"/>
      <c r="N127" s="9"/>
    </row>
    <row r="128" spans="2:21" x14ac:dyDescent="0.25">
      <c r="B128" s="5">
        <v>50</v>
      </c>
      <c r="C128" s="2">
        <f t="shared" ref="C128:C139" si="0">$K$42*(B128*21)</f>
        <v>5061.296166230768</v>
      </c>
      <c r="F128" s="2">
        <f t="shared" ref="F128:F139" si="1">(C128+$K$65)*0.05</f>
        <v>1209.9120572216716</v>
      </c>
      <c r="I128" s="2">
        <f t="shared" ref="I128:I139" si="2">(C128+$K$65+F128)*6%</f>
        <v>1524.4891920993061</v>
      </c>
      <c r="L128" s="31">
        <f t="shared" ref="L128:L139" si="3">(C128+$K$65+F128+I128)*14.25%</f>
        <v>3837.9015411100031</v>
      </c>
      <c r="M128" s="9"/>
      <c r="N128" s="9"/>
    </row>
    <row r="129" spans="2:14" x14ac:dyDescent="0.25">
      <c r="B129" s="5">
        <v>60</v>
      </c>
      <c r="C129" s="2">
        <f t="shared" si="0"/>
        <v>6073.5553994769216</v>
      </c>
      <c r="F129" s="2">
        <f t="shared" si="1"/>
        <v>1260.5250188839793</v>
      </c>
      <c r="I129" s="2">
        <f t="shared" si="2"/>
        <v>1588.2615237938137</v>
      </c>
      <c r="L129" s="31">
        <f t="shared" si="3"/>
        <v>3998.4483861509261</v>
      </c>
      <c r="M129" s="9"/>
      <c r="N129" s="9"/>
    </row>
    <row r="130" spans="2:14" x14ac:dyDescent="0.25">
      <c r="B130" s="5">
        <v>70</v>
      </c>
      <c r="C130" s="2">
        <f t="shared" si="0"/>
        <v>7085.8146327230752</v>
      </c>
      <c r="F130" s="2">
        <f t="shared" si="1"/>
        <v>1311.1379805462871</v>
      </c>
      <c r="I130" s="2">
        <f t="shared" si="2"/>
        <v>1652.0338554883215</v>
      </c>
      <c r="L130" s="31">
        <f t="shared" si="3"/>
        <v>4158.9952311918487</v>
      </c>
      <c r="M130" s="9"/>
      <c r="N130" s="9"/>
    </row>
    <row r="131" spans="2:14" x14ac:dyDescent="0.25">
      <c r="B131" s="5">
        <v>80</v>
      </c>
      <c r="C131" s="2">
        <f t="shared" si="0"/>
        <v>8098.0738659692288</v>
      </c>
      <c r="F131" s="2">
        <f t="shared" si="1"/>
        <v>1361.7509422085948</v>
      </c>
      <c r="I131" s="2">
        <f t="shared" si="2"/>
        <v>1715.806187182829</v>
      </c>
      <c r="L131" s="31">
        <f t="shared" si="3"/>
        <v>4319.5420762327722</v>
      </c>
      <c r="M131" s="9"/>
      <c r="N131" s="9"/>
    </row>
    <row r="132" spans="2:14" x14ac:dyDescent="0.25">
      <c r="B132" s="5">
        <v>90</v>
      </c>
      <c r="C132" s="2">
        <f t="shared" si="0"/>
        <v>9110.3330992153824</v>
      </c>
      <c r="F132" s="2">
        <f t="shared" si="1"/>
        <v>1412.3639038709025</v>
      </c>
      <c r="I132" s="2">
        <f t="shared" si="2"/>
        <v>1779.578518877337</v>
      </c>
      <c r="L132" s="31">
        <f t="shared" si="3"/>
        <v>4480.0889212736956</v>
      </c>
      <c r="M132" s="9"/>
      <c r="N132" s="9"/>
    </row>
    <row r="133" spans="2:14" x14ac:dyDescent="0.25">
      <c r="B133" s="5">
        <v>100</v>
      </c>
      <c r="C133" s="2">
        <f t="shared" si="0"/>
        <v>10122.592332461536</v>
      </c>
      <c r="F133" s="2">
        <f t="shared" si="1"/>
        <v>1462.97686553321</v>
      </c>
      <c r="I133" s="2">
        <f t="shared" si="2"/>
        <v>1843.3508505718444</v>
      </c>
      <c r="L133" s="31">
        <f t="shared" si="3"/>
        <v>4640.6357663146182</v>
      </c>
      <c r="M133" s="9"/>
      <c r="N133" s="9"/>
    </row>
    <row r="134" spans="2:14" x14ac:dyDescent="0.25">
      <c r="B134" s="5">
        <v>110</v>
      </c>
      <c r="C134" s="2">
        <f t="shared" si="0"/>
        <v>11134.85156570769</v>
      </c>
      <c r="F134" s="2">
        <f t="shared" si="1"/>
        <v>1513.5898271955177</v>
      </c>
      <c r="I134" s="2">
        <f t="shared" si="2"/>
        <v>1907.1231822663524</v>
      </c>
      <c r="L134" s="31">
        <f t="shared" si="3"/>
        <v>4801.1826113555417</v>
      </c>
      <c r="M134" s="9"/>
      <c r="N134" s="9"/>
    </row>
    <row r="135" spans="2:14" x14ac:dyDescent="0.25">
      <c r="B135" s="5">
        <v>120</v>
      </c>
      <c r="C135" s="2">
        <f t="shared" si="0"/>
        <v>12147.110798953843</v>
      </c>
      <c r="F135" s="2">
        <f t="shared" si="1"/>
        <v>1564.2027888578255</v>
      </c>
      <c r="I135" s="2">
        <f t="shared" si="2"/>
        <v>1970.8955139608597</v>
      </c>
      <c r="L135" s="31">
        <f t="shared" si="3"/>
        <v>4961.7294563964642</v>
      </c>
      <c r="M135" s="9"/>
      <c r="N135" s="9"/>
    </row>
    <row r="136" spans="2:14" x14ac:dyDescent="0.25">
      <c r="B136" s="5">
        <v>130</v>
      </c>
      <c r="C136" s="2">
        <f t="shared" si="0"/>
        <v>13159.370032199997</v>
      </c>
      <c r="F136" s="2">
        <f t="shared" si="1"/>
        <v>1614.8157505201332</v>
      </c>
      <c r="I136" s="2">
        <f t="shared" si="2"/>
        <v>2034.6678456553677</v>
      </c>
      <c r="L136" s="31">
        <f t="shared" si="3"/>
        <v>5122.2763014373886</v>
      </c>
      <c r="M136" s="9"/>
      <c r="N136" s="9"/>
    </row>
    <row r="137" spans="2:14" x14ac:dyDescent="0.25">
      <c r="B137" s="5">
        <v>140</v>
      </c>
      <c r="C137" s="2">
        <f t="shared" si="0"/>
        <v>14171.62926544615</v>
      </c>
      <c r="F137" s="2">
        <f t="shared" si="1"/>
        <v>1665.4287121824409</v>
      </c>
      <c r="I137" s="2">
        <f t="shared" si="2"/>
        <v>2098.4401773498753</v>
      </c>
      <c r="L137" s="31">
        <f t="shared" si="3"/>
        <v>5282.8231464783103</v>
      </c>
      <c r="M137" s="9"/>
      <c r="N137" s="9"/>
    </row>
    <row r="138" spans="2:14" x14ac:dyDescent="0.25">
      <c r="B138" s="5">
        <v>150</v>
      </c>
      <c r="C138" s="2">
        <f t="shared" si="0"/>
        <v>15183.888498692304</v>
      </c>
      <c r="F138" s="2">
        <f t="shared" si="1"/>
        <v>1716.0416738447486</v>
      </c>
      <c r="I138" s="2">
        <f t="shared" si="2"/>
        <v>2162.2125090443828</v>
      </c>
      <c r="L138" s="31">
        <f t="shared" si="3"/>
        <v>5443.3699915192337</v>
      </c>
      <c r="M138" s="9"/>
      <c r="N138" s="9"/>
    </row>
    <row r="139" spans="2:14" x14ac:dyDescent="0.25">
      <c r="B139" s="5">
        <v>160</v>
      </c>
      <c r="C139" s="2">
        <f t="shared" si="0"/>
        <v>16196.147731938458</v>
      </c>
      <c r="F139" s="2">
        <f t="shared" si="1"/>
        <v>1766.6546355070561</v>
      </c>
      <c r="I139" s="2">
        <f t="shared" si="2"/>
        <v>2225.9848407388904</v>
      </c>
      <c r="L139" s="31">
        <f t="shared" si="3"/>
        <v>5603.9168365601563</v>
      </c>
      <c r="M139" s="9"/>
      <c r="N139" s="9"/>
    </row>
    <row r="140" spans="2:14" x14ac:dyDescent="0.25">
      <c r="B140" s="5"/>
    </row>
    <row r="143" spans="2:14" x14ac:dyDescent="0.25">
      <c r="B143" s="187" t="s">
        <v>178</v>
      </c>
      <c r="C143" s="187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</row>
    <row r="144" spans="2:14" x14ac:dyDescent="0.25">
      <c r="B144" s="187"/>
      <c r="C144" s="187"/>
    </row>
    <row r="145" spans="2:14" x14ac:dyDescent="0.25">
      <c r="B145" s="187"/>
      <c r="C145" s="187"/>
    </row>
    <row r="146" spans="2:14" x14ac:dyDescent="0.25">
      <c r="B146" s="187"/>
      <c r="C146" s="187"/>
    </row>
    <row r="147" spans="2:14" ht="24.75" x14ac:dyDescent="0.25">
      <c r="B147" s="94" t="s">
        <v>173</v>
      </c>
      <c r="C147" s="9" t="s">
        <v>174</v>
      </c>
      <c r="D147" s="9"/>
      <c r="E147" s="9"/>
      <c r="F147" s="9" t="s">
        <v>175</v>
      </c>
      <c r="G147" s="9"/>
      <c r="H147" s="9"/>
      <c r="I147" s="9" t="s">
        <v>176</v>
      </c>
      <c r="J147" s="9"/>
      <c r="K147" s="9"/>
      <c r="L147" s="9" t="s">
        <v>177</v>
      </c>
      <c r="M147" s="9"/>
      <c r="N147" s="9"/>
    </row>
    <row r="148" spans="2:14" x14ac:dyDescent="0.25">
      <c r="B148" s="5">
        <v>40</v>
      </c>
      <c r="C148" s="2">
        <f>($K$42*(B148*21))*1.154</f>
        <v>4672.5886206642444</v>
      </c>
      <c r="F148" s="2">
        <f>(C148+$K$65)*0.05</f>
        <v>1190.4766799433455</v>
      </c>
      <c r="I148" s="2">
        <f>(C148+$K$65+F148)*6%</f>
        <v>1500.0006167286153</v>
      </c>
      <c r="L148" s="31">
        <f>(C148+$K$65+F148+I148)*14.25%</f>
        <v>3776.2515526142888</v>
      </c>
      <c r="M148" s="9"/>
      <c r="N148" s="9"/>
    </row>
    <row r="149" spans="2:14" x14ac:dyDescent="0.25">
      <c r="B149" s="5">
        <v>50</v>
      </c>
      <c r="C149" s="2">
        <f t="shared" ref="C149:C160" si="4">($K$42*(B149*21))*1.154</f>
        <v>5840.735775830306</v>
      </c>
      <c r="F149" s="2">
        <f t="shared" ref="F149:F160" si="5">(C149+$K$65)*0.05</f>
        <v>1248.8840377016486</v>
      </c>
      <c r="I149" s="2">
        <f t="shared" ref="I149:I160" si="6">(C149+$K$65+F149)*6%</f>
        <v>1573.593887504077</v>
      </c>
      <c r="L149" s="31">
        <f t="shared" ref="L149:L160" si="7">(C149+$K$65+F149+I149)*14.25%</f>
        <v>3961.5226117915136</v>
      </c>
      <c r="M149" s="9"/>
      <c r="N149" s="9"/>
    </row>
    <row r="150" spans="2:14" x14ac:dyDescent="0.25">
      <c r="B150" s="5">
        <v>60</v>
      </c>
      <c r="C150" s="2">
        <f t="shared" si="4"/>
        <v>7008.8829309963667</v>
      </c>
      <c r="F150" s="2">
        <f t="shared" si="5"/>
        <v>1307.2913954599517</v>
      </c>
      <c r="I150" s="2">
        <f t="shared" si="6"/>
        <v>1647.1871582795388</v>
      </c>
      <c r="L150" s="31">
        <f t="shared" si="7"/>
        <v>4146.7936709687392</v>
      </c>
      <c r="M150" s="9"/>
      <c r="N150" s="9"/>
    </row>
    <row r="151" spans="2:14" x14ac:dyDescent="0.25">
      <c r="B151" s="5">
        <v>70</v>
      </c>
      <c r="C151" s="2">
        <f t="shared" si="4"/>
        <v>8177.0300861624282</v>
      </c>
      <c r="F151" s="2">
        <f t="shared" si="5"/>
        <v>1365.6987532182548</v>
      </c>
      <c r="I151" s="2">
        <f t="shared" si="6"/>
        <v>1720.7804290550007</v>
      </c>
      <c r="L151" s="31">
        <f t="shared" si="7"/>
        <v>4332.0647301459639</v>
      </c>
      <c r="M151" s="9"/>
      <c r="N151" s="9"/>
    </row>
    <row r="152" spans="2:14" x14ac:dyDescent="0.25">
      <c r="B152" s="5">
        <v>80</v>
      </c>
      <c r="C152" s="2">
        <f t="shared" si="4"/>
        <v>9345.1772413284889</v>
      </c>
      <c r="F152" s="2">
        <f t="shared" si="5"/>
        <v>1424.1061109765578</v>
      </c>
      <c r="I152" s="2">
        <f t="shared" si="6"/>
        <v>1794.3736998304626</v>
      </c>
      <c r="L152" s="31">
        <f t="shared" si="7"/>
        <v>4517.3357893231896</v>
      </c>
      <c r="M152" s="9"/>
      <c r="N152" s="9"/>
    </row>
    <row r="153" spans="2:14" x14ac:dyDescent="0.25">
      <c r="B153" s="5">
        <v>90</v>
      </c>
      <c r="C153" s="2">
        <f t="shared" si="4"/>
        <v>10513.32439649455</v>
      </c>
      <c r="F153" s="2">
        <f t="shared" si="5"/>
        <v>1482.5134687348609</v>
      </c>
      <c r="I153" s="2">
        <f t="shared" si="6"/>
        <v>1867.9669706059244</v>
      </c>
      <c r="L153" s="31">
        <f t="shared" si="7"/>
        <v>4702.6068485004143</v>
      </c>
      <c r="M153" s="9"/>
      <c r="N153" s="9"/>
    </row>
    <row r="154" spans="2:14" x14ac:dyDescent="0.25">
      <c r="B154" s="5">
        <v>100</v>
      </c>
      <c r="C154" s="2">
        <f t="shared" si="4"/>
        <v>11681.471551660612</v>
      </c>
      <c r="F154" s="2">
        <f t="shared" si="5"/>
        <v>1540.920826493164</v>
      </c>
      <c r="I154" s="2">
        <f t="shared" si="6"/>
        <v>1941.5602413813863</v>
      </c>
      <c r="L154" s="31">
        <f t="shared" si="7"/>
        <v>4887.8779076776391</v>
      </c>
      <c r="M154" s="9"/>
      <c r="N154" s="9"/>
    </row>
    <row r="155" spans="2:14" x14ac:dyDescent="0.25">
      <c r="B155" s="5">
        <v>110</v>
      </c>
      <c r="C155" s="2">
        <f t="shared" si="4"/>
        <v>12849.618706826674</v>
      </c>
      <c r="F155" s="2">
        <f t="shared" si="5"/>
        <v>1599.3281842514671</v>
      </c>
      <c r="I155" s="2">
        <f t="shared" si="6"/>
        <v>2015.1535121568484</v>
      </c>
      <c r="L155" s="31">
        <f t="shared" si="7"/>
        <v>5073.1489668548647</v>
      </c>
      <c r="M155" s="9"/>
      <c r="N155" s="9"/>
    </row>
    <row r="156" spans="2:14" x14ac:dyDescent="0.25">
      <c r="B156" s="5">
        <v>120</v>
      </c>
      <c r="C156" s="2">
        <f t="shared" si="4"/>
        <v>14017.765861992733</v>
      </c>
      <c r="F156" s="2">
        <f t="shared" si="5"/>
        <v>1657.7355420097699</v>
      </c>
      <c r="I156" s="2">
        <f t="shared" si="6"/>
        <v>2088.7467829323095</v>
      </c>
      <c r="L156" s="31">
        <f t="shared" si="7"/>
        <v>5258.4200260320886</v>
      </c>
      <c r="M156" s="9"/>
      <c r="N156" s="9"/>
    </row>
    <row r="157" spans="2:14" x14ac:dyDescent="0.25">
      <c r="B157" s="5">
        <v>130</v>
      </c>
      <c r="C157" s="2">
        <f t="shared" si="4"/>
        <v>15185.913017158795</v>
      </c>
      <c r="F157" s="2">
        <f t="shared" si="5"/>
        <v>1716.1428997680732</v>
      </c>
      <c r="I157" s="2">
        <f t="shared" si="6"/>
        <v>2162.3400537077719</v>
      </c>
      <c r="L157" s="31">
        <f t="shared" si="7"/>
        <v>5443.6910852093151</v>
      </c>
      <c r="M157" s="9"/>
      <c r="N157" s="9"/>
    </row>
    <row r="158" spans="2:14" x14ac:dyDescent="0.25">
      <c r="B158" s="5">
        <v>140</v>
      </c>
      <c r="C158" s="2">
        <f t="shared" si="4"/>
        <v>16354.060172324856</v>
      </c>
      <c r="F158" s="2">
        <f t="shared" si="5"/>
        <v>1774.5502575263761</v>
      </c>
      <c r="I158" s="2">
        <f t="shared" si="6"/>
        <v>2235.9333244832337</v>
      </c>
      <c r="L158" s="31">
        <f t="shared" si="7"/>
        <v>5628.9621443865399</v>
      </c>
      <c r="M158" s="9"/>
      <c r="N158" s="9"/>
    </row>
    <row r="159" spans="2:14" x14ac:dyDescent="0.25">
      <c r="B159" s="5">
        <v>150</v>
      </c>
      <c r="C159" s="2">
        <f t="shared" si="4"/>
        <v>17522.207327490916</v>
      </c>
      <c r="F159" s="2">
        <f t="shared" si="5"/>
        <v>1832.9576152846794</v>
      </c>
      <c r="I159" s="2">
        <f t="shared" si="6"/>
        <v>2309.5265952586956</v>
      </c>
      <c r="L159" s="31">
        <f t="shared" si="7"/>
        <v>5814.2332035637655</v>
      </c>
      <c r="M159" s="9"/>
      <c r="N159" s="9"/>
    </row>
    <row r="160" spans="2:14" x14ac:dyDescent="0.25">
      <c r="B160" s="5">
        <v>160</v>
      </c>
      <c r="C160" s="2">
        <f t="shared" si="4"/>
        <v>18690.354482656978</v>
      </c>
      <c r="F160" s="2">
        <f t="shared" si="5"/>
        <v>1891.3649730429822</v>
      </c>
      <c r="I160" s="2">
        <f t="shared" si="6"/>
        <v>2383.1198660341574</v>
      </c>
      <c r="L160" s="31">
        <f t="shared" si="7"/>
        <v>5999.5042627409903</v>
      </c>
      <c r="M160" s="9"/>
      <c r="N160" s="9"/>
    </row>
  </sheetData>
  <mergeCells count="121">
    <mergeCell ref="C2:F6"/>
    <mergeCell ref="H3:P5"/>
    <mergeCell ref="F7:H7"/>
    <mergeCell ref="K7:N7"/>
    <mergeCell ref="B8:C8"/>
    <mergeCell ref="I9:P9"/>
    <mergeCell ref="P16:P17"/>
    <mergeCell ref="T17:V17"/>
    <mergeCell ref="A14:D14"/>
    <mergeCell ref="E14:F14"/>
    <mergeCell ref="K14:N15"/>
    <mergeCell ref="O14:O15"/>
    <mergeCell ref="P14:P15"/>
    <mergeCell ref="E15:F15"/>
    <mergeCell ref="A11:F11"/>
    <mergeCell ref="K11:N11"/>
    <mergeCell ref="A12:C12"/>
    <mergeCell ref="E12:F12"/>
    <mergeCell ref="K12:N12"/>
    <mergeCell ref="A13:D13"/>
    <mergeCell ref="E13:F13"/>
    <mergeCell ref="K13:N13"/>
    <mergeCell ref="A9:F9"/>
    <mergeCell ref="K18:N18"/>
    <mergeCell ref="A19:F19"/>
    <mergeCell ref="A20:F20"/>
    <mergeCell ref="H21:O22"/>
    <mergeCell ref="A23:F23"/>
    <mergeCell ref="A24:D24"/>
    <mergeCell ref="E24:F24"/>
    <mergeCell ref="A16:D16"/>
    <mergeCell ref="E16:F16"/>
    <mergeCell ref="K16:N17"/>
    <mergeCell ref="O16:O17"/>
    <mergeCell ref="A28:D28"/>
    <mergeCell ref="E28:F28"/>
    <mergeCell ref="A31:F31"/>
    <mergeCell ref="A32:D32"/>
    <mergeCell ref="E32:F32"/>
    <mergeCell ref="A33:D33"/>
    <mergeCell ref="A25:D25"/>
    <mergeCell ref="E25:F25"/>
    <mergeCell ref="A26:D26"/>
    <mergeCell ref="E26:F26"/>
    <mergeCell ref="A27:D27"/>
    <mergeCell ref="E27:F27"/>
    <mergeCell ref="B41:D41"/>
    <mergeCell ref="F41:H41"/>
    <mergeCell ref="A42:E42"/>
    <mergeCell ref="A43:J43"/>
    <mergeCell ref="A45:J45"/>
    <mergeCell ref="A47:J47"/>
    <mergeCell ref="A36:E36"/>
    <mergeCell ref="B37:D37"/>
    <mergeCell ref="E37:F37"/>
    <mergeCell ref="B38:D38"/>
    <mergeCell ref="B39:D39"/>
    <mergeCell ref="B40:D40"/>
    <mergeCell ref="C54:F54"/>
    <mergeCell ref="C55:F55"/>
    <mergeCell ref="C58:F58"/>
    <mergeCell ref="C60:G60"/>
    <mergeCell ref="C62:E62"/>
    <mergeCell ref="C63:F63"/>
    <mergeCell ref="A49:E49"/>
    <mergeCell ref="H50:I50"/>
    <mergeCell ref="C51:F51"/>
    <mergeCell ref="H51:I51"/>
    <mergeCell ref="C52:F52"/>
    <mergeCell ref="C53:F53"/>
    <mergeCell ref="A74:E74"/>
    <mergeCell ref="A75:F75"/>
    <mergeCell ref="I75:J75"/>
    <mergeCell ref="I76:J76"/>
    <mergeCell ref="I77:J77"/>
    <mergeCell ref="I78:J78"/>
    <mergeCell ref="A65:J65"/>
    <mergeCell ref="A67:I67"/>
    <mergeCell ref="A69:E69"/>
    <mergeCell ref="I69:J69"/>
    <mergeCell ref="C70:F70"/>
    <mergeCell ref="C71:F71"/>
    <mergeCell ref="D95:E95"/>
    <mergeCell ref="B97:C97"/>
    <mergeCell ref="F97:G97"/>
    <mergeCell ref="F98:G98"/>
    <mergeCell ref="B100:D100"/>
    <mergeCell ref="F100:G100"/>
    <mergeCell ref="A79:J79"/>
    <mergeCell ref="A82:I82"/>
    <mergeCell ref="A84:H84"/>
    <mergeCell ref="A85:J85"/>
    <mergeCell ref="A89:J89"/>
    <mergeCell ref="A90:J90"/>
    <mergeCell ref="L109:M109"/>
    <mergeCell ref="P109:Q109"/>
    <mergeCell ref="F110:G110"/>
    <mergeCell ref="P110:Q110"/>
    <mergeCell ref="B112:D112"/>
    <mergeCell ref="F112:G112"/>
    <mergeCell ref="L112:N112"/>
    <mergeCell ref="P112:Q112"/>
    <mergeCell ref="B101:D101"/>
    <mergeCell ref="B102:D102"/>
    <mergeCell ref="B103:C103"/>
    <mergeCell ref="B104:D104"/>
    <mergeCell ref="F104:G104"/>
    <mergeCell ref="B109:C109"/>
    <mergeCell ref="F109:G109"/>
    <mergeCell ref="B116:D116"/>
    <mergeCell ref="F116:G116"/>
    <mergeCell ref="L116:N116"/>
    <mergeCell ref="P116:Q116"/>
    <mergeCell ref="B122:C125"/>
    <mergeCell ref="B143:C146"/>
    <mergeCell ref="B113:D113"/>
    <mergeCell ref="L113:N113"/>
    <mergeCell ref="B114:D114"/>
    <mergeCell ref="L114:N114"/>
    <mergeCell ref="B115:C115"/>
    <mergeCell ref="L115:M115"/>
  </mergeCells>
  <conditionalFormatting sqref="P19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{29EBB167-DA16-4809-90EE-F945D751180D}</x14:id>
        </ext>
      </extLst>
    </cfRule>
  </conditionalFormatting>
  <dataValidations disablePrompts="1" count="3">
    <dataValidation type="list" allowBlank="1" showInputMessage="1" showErrorMessage="1" sqref="F7:H7 T17:V17">
      <formula1>$Q$119:$Q$122</formula1>
    </dataValidation>
    <dataValidation type="list" allowBlank="1" showInputMessage="1" showErrorMessage="1" sqref="L51">
      <formula1>"LINEAR, MÉTODO COLE"</formula1>
    </dataValidation>
    <dataValidation type="list" allowBlank="1" showInputMessage="1" showErrorMessage="1" sqref="E15:F15">
      <formula1>"0,1,2,3,4,5,6,7,8,9,10,11,12,13,14,15"</formula1>
    </dataValidation>
  </dataValidations>
  <pageMargins left="0.51181102362204722" right="0.51181102362204722" top="0.78740157480314965" bottom="0.78740157480314965" header="0.31496062992125984" footer="0.31496062992125984"/>
  <pageSetup paperSize="9" scale="50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9EBB167-DA16-4809-90EE-F945D751180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P19</xm:sqref>
        </x14:conditionalFormatting>
      </x14:conditionalFormattings>
    </ext>
  </extLst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7"/>
  <dimension ref="A1:H102"/>
  <sheetViews>
    <sheetView showGridLines="0" tabSelected="1" showWhiteSpace="0" view="pageBreakPreview" zoomScale="115" zoomScaleNormal="90" zoomScaleSheetLayoutView="115" workbookViewId="0">
      <selection activeCell="A57" sqref="A57"/>
    </sheetView>
  </sheetViews>
  <sheetFormatPr defaultRowHeight="15" x14ac:dyDescent="0.25"/>
  <cols>
    <col min="1" max="1" width="5.5703125" customWidth="1"/>
    <col min="2" max="2" width="45.28515625" customWidth="1"/>
    <col min="3" max="3" width="18.5703125" customWidth="1"/>
    <col min="4" max="4" width="14.140625" customWidth="1"/>
    <col min="5" max="5" width="20.42578125" customWidth="1"/>
    <col min="10" max="10" width="10.42578125" customWidth="1"/>
  </cols>
  <sheetData>
    <row r="1" spans="1:6" ht="21.75" thickBot="1" x14ac:dyDescent="0.3">
      <c r="A1" s="350" t="s">
        <v>282</v>
      </c>
      <c r="B1" s="351"/>
      <c r="C1" s="351"/>
      <c r="D1" s="351"/>
      <c r="E1" s="352"/>
    </row>
    <row r="2" spans="1:6" ht="34.5" customHeight="1" x14ac:dyDescent="0.25">
      <c r="A2" s="122" t="s">
        <v>189</v>
      </c>
      <c r="B2" s="128" t="s">
        <v>281</v>
      </c>
      <c r="C2" s="353" t="s">
        <v>332</v>
      </c>
      <c r="D2" s="354"/>
      <c r="E2" s="355"/>
    </row>
    <row r="3" spans="1:6" x14ac:dyDescent="0.25">
      <c r="A3" s="122" t="s">
        <v>187</v>
      </c>
      <c r="B3" s="128" t="s">
        <v>280</v>
      </c>
      <c r="C3" s="356" t="str">
        <f>C10</f>
        <v>Prestação de Serviços de Transporte Escolar</v>
      </c>
      <c r="D3" s="357"/>
      <c r="E3" s="358"/>
    </row>
    <row r="4" spans="1:6" ht="25.5" x14ac:dyDescent="0.25">
      <c r="A4" s="122" t="s">
        <v>185</v>
      </c>
      <c r="B4" s="128" t="s">
        <v>279</v>
      </c>
      <c r="C4" s="356" t="s">
        <v>334</v>
      </c>
      <c r="D4" s="357"/>
      <c r="E4" s="358"/>
      <c r="F4" t="s">
        <v>278</v>
      </c>
    </row>
    <row r="5" spans="1:6" x14ac:dyDescent="0.25">
      <c r="A5" s="122" t="s">
        <v>183</v>
      </c>
      <c r="B5" s="128" t="s">
        <v>277</v>
      </c>
      <c r="C5" s="356">
        <v>12</v>
      </c>
      <c r="D5" s="357"/>
      <c r="E5" s="358"/>
    </row>
    <row r="6" spans="1:6" x14ac:dyDescent="0.25">
      <c r="A6" s="341" t="s">
        <v>276</v>
      </c>
      <c r="B6" s="342"/>
      <c r="C6" s="342"/>
      <c r="D6" s="342"/>
      <c r="E6" s="343"/>
    </row>
    <row r="7" spans="1:6" x14ac:dyDescent="0.25">
      <c r="A7" s="344" t="s">
        <v>275</v>
      </c>
      <c r="B7" s="345"/>
      <c r="C7" s="345"/>
      <c r="D7" s="345"/>
      <c r="E7" s="346"/>
    </row>
    <row r="8" spans="1:6" x14ac:dyDescent="0.25">
      <c r="A8" s="347" t="s">
        <v>274</v>
      </c>
      <c r="B8" s="348"/>
      <c r="C8" s="348"/>
      <c r="D8" s="348"/>
      <c r="E8" s="349"/>
    </row>
    <row r="9" spans="1:6" x14ac:dyDescent="0.25">
      <c r="A9" s="306" t="s">
        <v>273</v>
      </c>
      <c r="B9" s="309"/>
      <c r="C9" s="309"/>
      <c r="D9" s="307"/>
      <c r="E9" s="102" t="s">
        <v>190</v>
      </c>
    </row>
    <row r="10" spans="1:6" ht="27.75" customHeight="1" x14ac:dyDescent="0.25">
      <c r="A10" s="122">
        <v>1</v>
      </c>
      <c r="B10" s="123" t="s">
        <v>272</v>
      </c>
      <c r="C10" s="333" t="s">
        <v>271</v>
      </c>
      <c r="D10" s="334"/>
      <c r="E10" s="335"/>
    </row>
    <row r="11" spans="1:6" x14ac:dyDescent="0.25">
      <c r="A11" s="122">
        <v>2</v>
      </c>
      <c r="B11" s="127" t="s">
        <v>270</v>
      </c>
      <c r="C11" s="126"/>
      <c r="D11" s="125"/>
      <c r="E11" s="124">
        <v>2089.1799999999998</v>
      </c>
    </row>
    <row r="12" spans="1:6" ht="25.5" x14ac:dyDescent="0.25">
      <c r="A12" s="122">
        <v>3</v>
      </c>
      <c r="B12" s="123" t="s">
        <v>269</v>
      </c>
      <c r="C12" s="333" t="s">
        <v>283</v>
      </c>
      <c r="D12" s="334"/>
      <c r="E12" s="335"/>
    </row>
    <row r="13" spans="1:6" x14ac:dyDescent="0.25">
      <c r="A13" s="122">
        <v>4</v>
      </c>
      <c r="B13" s="121" t="s">
        <v>267</v>
      </c>
      <c r="C13" s="336">
        <v>46023</v>
      </c>
      <c r="D13" s="337"/>
      <c r="E13" s="338"/>
    </row>
    <row r="14" spans="1:6" x14ac:dyDescent="0.25">
      <c r="A14" s="315" t="s">
        <v>266</v>
      </c>
      <c r="B14" s="316"/>
      <c r="C14" s="316"/>
      <c r="D14" s="316"/>
      <c r="E14" s="317"/>
    </row>
    <row r="15" spans="1:6" x14ac:dyDescent="0.25">
      <c r="A15" s="101">
        <v>1</v>
      </c>
      <c r="B15" s="297" t="s">
        <v>265</v>
      </c>
      <c r="C15" s="310"/>
      <c r="D15" s="311"/>
      <c r="E15" s="102" t="s">
        <v>190</v>
      </c>
    </row>
    <row r="16" spans="1:6" x14ac:dyDescent="0.25">
      <c r="A16" s="119" t="s">
        <v>189</v>
      </c>
      <c r="B16" s="118" t="s">
        <v>264</v>
      </c>
      <c r="C16" s="339"/>
      <c r="D16" s="340"/>
      <c r="E16" s="117">
        <v>2089.1799999999998</v>
      </c>
    </row>
    <row r="17" spans="1:5" ht="15" customHeight="1" x14ac:dyDescent="0.25">
      <c r="A17" s="119" t="s">
        <v>187</v>
      </c>
      <c r="B17" s="118" t="s">
        <v>263</v>
      </c>
      <c r="C17" s="331" t="s">
        <v>262</v>
      </c>
      <c r="D17" s="332"/>
      <c r="E17" s="115">
        <v>0</v>
      </c>
    </row>
    <row r="18" spans="1:5" x14ac:dyDescent="0.25">
      <c r="A18" s="119" t="s">
        <v>185</v>
      </c>
      <c r="B18" s="120" t="s">
        <v>261</v>
      </c>
      <c r="C18" s="331" t="s">
        <v>260</v>
      </c>
      <c r="D18" s="332"/>
      <c r="E18" s="115">
        <v>0</v>
      </c>
    </row>
    <row r="19" spans="1:5" ht="15" customHeight="1" x14ac:dyDescent="0.25">
      <c r="A19" s="119" t="s">
        <v>183</v>
      </c>
      <c r="B19" s="118" t="s">
        <v>259</v>
      </c>
      <c r="C19" s="331" t="s">
        <v>258</v>
      </c>
      <c r="D19" s="332"/>
      <c r="E19" s="115">
        <f>(((E16/180)*0.2))*0</f>
        <v>0</v>
      </c>
    </row>
    <row r="20" spans="1:5" ht="24" customHeight="1" x14ac:dyDescent="0.25">
      <c r="A20" s="119" t="s">
        <v>181</v>
      </c>
      <c r="B20" s="118" t="s">
        <v>257</v>
      </c>
      <c r="C20" s="331" t="s">
        <v>256</v>
      </c>
      <c r="D20" s="332"/>
      <c r="E20" s="115">
        <v>0</v>
      </c>
    </row>
    <row r="21" spans="1:5" x14ac:dyDescent="0.25">
      <c r="A21" s="303" t="s">
        <v>255</v>
      </c>
      <c r="B21" s="304"/>
      <c r="C21" s="304"/>
      <c r="D21" s="305"/>
      <c r="E21" s="103">
        <f>SUM(E16:E20)</f>
        <v>2089.1799999999998</v>
      </c>
    </row>
    <row r="22" spans="1:5" x14ac:dyDescent="0.25">
      <c r="A22" s="315" t="s">
        <v>254</v>
      </c>
      <c r="B22" s="316"/>
      <c r="C22" s="316"/>
      <c r="D22" s="316"/>
      <c r="E22" s="317"/>
    </row>
    <row r="23" spans="1:5" x14ac:dyDescent="0.25">
      <c r="A23" s="101" t="s">
        <v>233</v>
      </c>
      <c r="B23" s="297" t="s">
        <v>253</v>
      </c>
      <c r="C23" s="310"/>
      <c r="D23" s="311"/>
      <c r="E23" s="102" t="s">
        <v>190</v>
      </c>
    </row>
    <row r="24" spans="1:5" x14ac:dyDescent="0.25">
      <c r="A24" s="107" t="s">
        <v>189</v>
      </c>
      <c r="B24" s="297" t="s">
        <v>252</v>
      </c>
      <c r="C24" s="299"/>
      <c r="D24" s="109">
        <f>1/12</f>
        <v>8.3333333333333329E-2</v>
      </c>
      <c r="E24" s="100">
        <f>ROUND(+$E$21*D24,2)</f>
        <v>174.1</v>
      </c>
    </row>
    <row r="25" spans="1:5" x14ac:dyDescent="0.25">
      <c r="A25" s="107" t="s">
        <v>187</v>
      </c>
      <c r="B25" s="297" t="s">
        <v>251</v>
      </c>
      <c r="C25" s="299"/>
      <c r="D25" s="109">
        <v>0.1111</v>
      </c>
      <c r="E25" s="100">
        <f>ROUND(+$E$21*D25,2)</f>
        <v>232.11</v>
      </c>
    </row>
    <row r="26" spans="1:5" x14ac:dyDescent="0.25">
      <c r="A26" s="303" t="s">
        <v>192</v>
      </c>
      <c r="B26" s="304"/>
      <c r="C26" s="325"/>
      <c r="D26" s="110">
        <f>SUM(D24:D25)</f>
        <v>0.19443333333333335</v>
      </c>
      <c r="E26" s="103">
        <f>SUM(E24:E25)</f>
        <v>406.21000000000004</v>
      </c>
    </row>
    <row r="27" spans="1:5" ht="26.25" customHeight="1" x14ac:dyDescent="0.25">
      <c r="A27" s="328" t="s">
        <v>250</v>
      </c>
      <c r="B27" s="329"/>
      <c r="C27" s="329"/>
      <c r="D27" s="329"/>
      <c r="E27" s="330"/>
    </row>
    <row r="28" spans="1:5" x14ac:dyDescent="0.25">
      <c r="A28" s="101" t="s">
        <v>231</v>
      </c>
      <c r="B28" s="297" t="s">
        <v>249</v>
      </c>
      <c r="C28" s="310"/>
      <c r="D28" s="311"/>
      <c r="E28" s="102" t="s">
        <v>190</v>
      </c>
    </row>
    <row r="29" spans="1:5" x14ac:dyDescent="0.25">
      <c r="A29" s="107" t="s">
        <v>189</v>
      </c>
      <c r="B29" s="323" t="s">
        <v>248</v>
      </c>
      <c r="C29" s="324"/>
      <c r="D29" s="109">
        <v>0.2</v>
      </c>
      <c r="E29" s="100">
        <f>(E21+E26)*D29</f>
        <v>499.07799999999997</v>
      </c>
    </row>
    <row r="30" spans="1:5" x14ac:dyDescent="0.25">
      <c r="A30" s="107" t="s">
        <v>187</v>
      </c>
      <c r="B30" s="323" t="s">
        <v>247</v>
      </c>
      <c r="C30" s="324"/>
      <c r="D30" s="109">
        <v>1.4999999999999999E-2</v>
      </c>
      <c r="E30" s="100">
        <f>(E21+E26)*D30</f>
        <v>37.43085</v>
      </c>
    </row>
    <row r="31" spans="1:5" x14ac:dyDescent="0.25">
      <c r="A31" s="107" t="s">
        <v>185</v>
      </c>
      <c r="B31" s="323" t="s">
        <v>246</v>
      </c>
      <c r="C31" s="324"/>
      <c r="D31" s="109">
        <v>0.01</v>
      </c>
      <c r="E31" s="100">
        <f>(E21+E26)*D31</f>
        <v>24.953900000000001</v>
      </c>
    </row>
    <row r="32" spans="1:5" x14ac:dyDescent="0.25">
      <c r="A32" s="107" t="s">
        <v>183</v>
      </c>
      <c r="B32" s="323" t="s">
        <v>245</v>
      </c>
      <c r="C32" s="324"/>
      <c r="D32" s="109">
        <v>2E-3</v>
      </c>
      <c r="E32" s="100">
        <f>(E21+E26)*D32</f>
        <v>4.99078</v>
      </c>
    </row>
    <row r="33" spans="1:5" x14ac:dyDescent="0.25">
      <c r="A33" s="107" t="s">
        <v>181</v>
      </c>
      <c r="B33" s="323" t="s">
        <v>244</v>
      </c>
      <c r="C33" s="324"/>
      <c r="D33" s="109">
        <v>2.5000000000000001E-2</v>
      </c>
      <c r="E33" s="100">
        <f>(E21+E26)*D33</f>
        <v>62.384749999999997</v>
      </c>
    </row>
    <row r="34" spans="1:5" x14ac:dyDescent="0.25">
      <c r="A34" s="107" t="s">
        <v>213</v>
      </c>
      <c r="B34" s="323" t="s">
        <v>243</v>
      </c>
      <c r="C34" s="324"/>
      <c r="D34" s="109">
        <v>0.08</v>
      </c>
      <c r="E34" s="100">
        <f>(E21+E26)*D34</f>
        <v>199.63120000000001</v>
      </c>
    </row>
    <row r="35" spans="1:5" x14ac:dyDescent="0.25">
      <c r="A35" s="107" t="s">
        <v>242</v>
      </c>
      <c r="B35" s="323" t="s">
        <v>241</v>
      </c>
      <c r="C35" s="324"/>
      <c r="D35" s="109">
        <v>0.03</v>
      </c>
      <c r="E35" s="100">
        <f>(E21+E26)*D35</f>
        <v>74.861699999999999</v>
      </c>
    </row>
    <row r="36" spans="1:5" x14ac:dyDescent="0.25">
      <c r="A36" s="107" t="s">
        <v>240</v>
      </c>
      <c r="B36" s="326" t="s">
        <v>239</v>
      </c>
      <c r="C36" s="327"/>
      <c r="D36" s="109">
        <v>6.0000000000000001E-3</v>
      </c>
      <c r="E36" s="100">
        <f>(E21+E26)*D36</f>
        <v>14.972339999999999</v>
      </c>
    </row>
    <row r="37" spans="1:5" x14ac:dyDescent="0.25">
      <c r="A37" s="303" t="s">
        <v>192</v>
      </c>
      <c r="B37" s="304"/>
      <c r="C37" s="325"/>
      <c r="D37" s="110">
        <f>SUM(D29:D36)</f>
        <v>0.3680000000000001</v>
      </c>
      <c r="E37" s="103">
        <f>SUM(E29:E36)</f>
        <v>918.30352000000005</v>
      </c>
    </row>
    <row r="38" spans="1:5" x14ac:dyDescent="0.25">
      <c r="A38" s="101" t="s">
        <v>229</v>
      </c>
      <c r="B38" s="297" t="s">
        <v>238</v>
      </c>
      <c r="C38" s="310"/>
      <c r="D38" s="311"/>
      <c r="E38" s="102" t="s">
        <v>190</v>
      </c>
    </row>
    <row r="39" spans="1:5" x14ac:dyDescent="0.25">
      <c r="A39" s="107" t="s">
        <v>189</v>
      </c>
      <c r="B39" s="312" t="s">
        <v>237</v>
      </c>
      <c r="C39" s="313"/>
      <c r="D39" s="314"/>
      <c r="E39" s="116">
        <v>0</v>
      </c>
    </row>
    <row r="40" spans="1:5" x14ac:dyDescent="0.25">
      <c r="A40" s="107" t="s">
        <v>187</v>
      </c>
      <c r="B40" s="312" t="s">
        <v>333</v>
      </c>
      <c r="C40" s="313"/>
      <c r="D40" s="314"/>
      <c r="E40" s="117">
        <v>685</v>
      </c>
    </row>
    <row r="41" spans="1:5" x14ac:dyDescent="0.25">
      <c r="A41" s="107" t="s">
        <v>185</v>
      </c>
      <c r="B41" s="312" t="s">
        <v>284</v>
      </c>
      <c r="C41" s="313"/>
      <c r="D41" s="314"/>
      <c r="E41" s="117">
        <v>0</v>
      </c>
    </row>
    <row r="42" spans="1:5" x14ac:dyDescent="0.25">
      <c r="A42" s="107" t="s">
        <v>183</v>
      </c>
      <c r="B42" s="312" t="s">
        <v>236</v>
      </c>
      <c r="C42" s="313"/>
      <c r="D42" s="314"/>
      <c r="E42" s="100">
        <v>0</v>
      </c>
    </row>
    <row r="43" spans="1:5" x14ac:dyDescent="0.25">
      <c r="A43" s="303" t="s">
        <v>235</v>
      </c>
      <c r="B43" s="304"/>
      <c r="C43" s="304"/>
      <c r="D43" s="305"/>
      <c r="E43" s="103">
        <f>SUM(E39:E42)</f>
        <v>685</v>
      </c>
    </row>
    <row r="44" spans="1:5" x14ac:dyDescent="0.25">
      <c r="A44" s="315" t="s">
        <v>234</v>
      </c>
      <c r="B44" s="316"/>
      <c r="C44" s="316"/>
      <c r="D44" s="318"/>
      <c r="E44" s="102" t="s">
        <v>190</v>
      </c>
    </row>
    <row r="45" spans="1:5" x14ac:dyDescent="0.25">
      <c r="A45" s="101" t="s">
        <v>233</v>
      </c>
      <c r="B45" s="297" t="s">
        <v>232</v>
      </c>
      <c r="C45" s="310"/>
      <c r="D45" s="311"/>
      <c r="E45" s="114">
        <f>E26</f>
        <v>406.21000000000004</v>
      </c>
    </row>
    <row r="46" spans="1:5" x14ac:dyDescent="0.25">
      <c r="A46" s="101" t="s">
        <v>231</v>
      </c>
      <c r="B46" s="297" t="s">
        <v>230</v>
      </c>
      <c r="C46" s="298"/>
      <c r="D46" s="299"/>
      <c r="E46" s="100">
        <f>E37</f>
        <v>918.30352000000005</v>
      </c>
    </row>
    <row r="47" spans="1:5" x14ac:dyDescent="0.25">
      <c r="A47" s="101" t="s">
        <v>229</v>
      </c>
      <c r="B47" s="297" t="s">
        <v>228</v>
      </c>
      <c r="C47" s="298"/>
      <c r="D47" s="299"/>
      <c r="E47" s="100">
        <f>E43</f>
        <v>685</v>
      </c>
    </row>
    <row r="48" spans="1:5" ht="15" customHeight="1" x14ac:dyDescent="0.25">
      <c r="A48" s="303" t="s">
        <v>192</v>
      </c>
      <c r="B48" s="304"/>
      <c r="C48" s="304"/>
      <c r="D48" s="305"/>
      <c r="E48" s="103">
        <f>SUM(E45:E47)</f>
        <v>2009.51352</v>
      </c>
    </row>
    <row r="49" spans="1:8" x14ac:dyDescent="0.25">
      <c r="A49" s="315" t="s">
        <v>227</v>
      </c>
      <c r="B49" s="316"/>
      <c r="C49" s="316"/>
      <c r="D49" s="318"/>
      <c r="E49" s="100"/>
    </row>
    <row r="50" spans="1:8" x14ac:dyDescent="0.25">
      <c r="A50" s="101" t="s">
        <v>226</v>
      </c>
      <c r="B50" s="297" t="s">
        <v>225</v>
      </c>
      <c r="C50" s="310"/>
      <c r="D50" s="311"/>
      <c r="E50" s="102" t="s">
        <v>190</v>
      </c>
    </row>
    <row r="51" spans="1:8" x14ac:dyDescent="0.25">
      <c r="A51" s="107" t="s">
        <v>189</v>
      </c>
      <c r="B51" s="312" t="s">
        <v>224</v>
      </c>
      <c r="C51" s="314"/>
      <c r="D51" s="109">
        <v>4.5999999999999999E-3</v>
      </c>
      <c r="E51" s="100">
        <f>ROUND(+D51*$E$21,2)</f>
        <v>9.61</v>
      </c>
    </row>
    <row r="52" spans="1:8" x14ac:dyDescent="0.25">
      <c r="A52" s="107" t="s">
        <v>187</v>
      </c>
      <c r="B52" s="312" t="s">
        <v>223</v>
      </c>
      <c r="C52" s="314"/>
      <c r="D52" s="109">
        <f>D34*D51</f>
        <v>3.68E-4</v>
      </c>
      <c r="E52" s="100">
        <f>ROUND(+D52*$E$21,2)</f>
        <v>0.77</v>
      </c>
    </row>
    <row r="53" spans="1:8" x14ac:dyDescent="0.25">
      <c r="A53" s="107" t="s">
        <v>185</v>
      </c>
      <c r="B53" s="323" t="s">
        <v>222</v>
      </c>
      <c r="C53" s="324"/>
      <c r="D53" s="109">
        <v>1.9400000000000001E-2</v>
      </c>
      <c r="E53" s="100">
        <f>ROUND(+D53*$E$21,2)</f>
        <v>40.53</v>
      </c>
    </row>
    <row r="54" spans="1:8" ht="25.5" customHeight="1" x14ac:dyDescent="0.25">
      <c r="A54" s="107" t="s">
        <v>183</v>
      </c>
      <c r="B54" s="312" t="s">
        <v>221</v>
      </c>
      <c r="C54" s="314"/>
      <c r="D54" s="109">
        <f>D37*D53</f>
        <v>7.1392000000000027E-3</v>
      </c>
      <c r="E54" s="100">
        <f>ROUND(+D54*$E$21,2)</f>
        <v>14.92</v>
      </c>
    </row>
    <row r="55" spans="1:8" ht="36.75" customHeight="1" x14ac:dyDescent="0.25">
      <c r="A55" s="107" t="s">
        <v>181</v>
      </c>
      <c r="B55" s="312" t="s">
        <v>220</v>
      </c>
      <c r="C55" s="314"/>
      <c r="D55" s="109">
        <f>4%</f>
        <v>0.04</v>
      </c>
      <c r="E55" s="100">
        <f>ROUND(+D55*$E$21,2)</f>
        <v>83.57</v>
      </c>
      <c r="H55" s="113"/>
    </row>
    <row r="56" spans="1:8" x14ac:dyDescent="0.25">
      <c r="A56" s="303" t="s">
        <v>192</v>
      </c>
      <c r="B56" s="304"/>
      <c r="C56" s="304"/>
      <c r="D56" s="108">
        <f>SUM(D51:D55)</f>
        <v>7.1507200000000007E-2</v>
      </c>
      <c r="E56" s="103">
        <f>SUM(E51:E55)</f>
        <v>149.39999999999998</v>
      </c>
    </row>
    <row r="57" spans="1:8" x14ac:dyDescent="0.25">
      <c r="A57" s="315" t="s">
        <v>219</v>
      </c>
      <c r="B57" s="316"/>
      <c r="C57" s="316"/>
      <c r="D57" s="316"/>
      <c r="E57" s="317"/>
    </row>
    <row r="58" spans="1:8" x14ac:dyDescent="0.25">
      <c r="A58" s="101" t="s">
        <v>206</v>
      </c>
      <c r="B58" s="322" t="s">
        <v>205</v>
      </c>
      <c r="C58" s="316"/>
      <c r="D58" s="318"/>
      <c r="E58" s="102" t="s">
        <v>190</v>
      </c>
    </row>
    <row r="59" spans="1:8" ht="15.75" x14ac:dyDescent="0.25">
      <c r="A59" s="107" t="s">
        <v>189</v>
      </c>
      <c r="B59" s="312" t="s">
        <v>218</v>
      </c>
      <c r="C59" s="314"/>
      <c r="D59" s="109">
        <v>0</v>
      </c>
      <c r="E59" s="100">
        <f t="shared" ref="E59:E64" si="0">($E$21+$E$48+$E$56+$E$77)*D59</f>
        <v>0</v>
      </c>
      <c r="G59" s="112"/>
    </row>
    <row r="60" spans="1:8" ht="15.75" x14ac:dyDescent="0.25">
      <c r="A60" s="107" t="s">
        <v>187</v>
      </c>
      <c r="B60" s="312" t="s">
        <v>217</v>
      </c>
      <c r="C60" s="314"/>
      <c r="D60" s="109">
        <v>1.66E-2</v>
      </c>
      <c r="E60" s="100">
        <f t="shared" si="0"/>
        <v>73.017316431999987</v>
      </c>
      <c r="G60" s="112"/>
    </row>
    <row r="61" spans="1:8" ht="15.75" x14ac:dyDescent="0.25">
      <c r="A61" s="107" t="s">
        <v>185</v>
      </c>
      <c r="B61" s="312" t="s">
        <v>216</v>
      </c>
      <c r="C61" s="314"/>
      <c r="D61" s="109">
        <v>2.0000000000000001E-4</v>
      </c>
      <c r="E61" s="100">
        <f t="shared" si="0"/>
        <v>0.87972670399999997</v>
      </c>
      <c r="G61" s="112"/>
    </row>
    <row r="62" spans="1:8" ht="15.75" x14ac:dyDescent="0.25">
      <c r="A62" s="107" t="s">
        <v>183</v>
      </c>
      <c r="B62" s="312" t="s">
        <v>215</v>
      </c>
      <c r="C62" s="314"/>
      <c r="D62" s="109">
        <v>2.7000000000000001E-3</v>
      </c>
      <c r="E62" s="100">
        <f t="shared" si="0"/>
        <v>11.876310503999999</v>
      </c>
      <c r="G62" s="112"/>
    </row>
    <row r="63" spans="1:8" ht="15.75" x14ac:dyDescent="0.25">
      <c r="A63" s="107" t="s">
        <v>181</v>
      </c>
      <c r="B63" s="312" t="s">
        <v>214</v>
      </c>
      <c r="C63" s="314"/>
      <c r="D63" s="109">
        <v>2.9999999999999997E-4</v>
      </c>
      <c r="E63" s="100">
        <f t="shared" si="0"/>
        <v>1.3195900559999998</v>
      </c>
      <c r="G63" s="112"/>
    </row>
    <row r="64" spans="1:8" ht="15.75" x14ac:dyDescent="0.25">
      <c r="A64" s="107" t="s">
        <v>213</v>
      </c>
      <c r="B64" s="312" t="s">
        <v>212</v>
      </c>
      <c r="C64" s="314"/>
      <c r="D64" s="109">
        <v>0</v>
      </c>
      <c r="E64" s="100">
        <f t="shared" si="0"/>
        <v>0</v>
      </c>
      <c r="G64" s="112"/>
    </row>
    <row r="65" spans="1:7" ht="15.75" x14ac:dyDescent="0.25">
      <c r="A65" s="319" t="s">
        <v>211</v>
      </c>
      <c r="B65" s="320"/>
      <c r="C65" s="321"/>
      <c r="D65" s="108">
        <f>SUM(D59:D64)</f>
        <v>1.9800000000000002E-2</v>
      </c>
      <c r="E65" s="103">
        <f>SUM(E59:E64)</f>
        <v>87.092943695999992</v>
      </c>
      <c r="G65" s="112"/>
    </row>
    <row r="66" spans="1:7" ht="15.75" x14ac:dyDescent="0.25">
      <c r="A66" s="315"/>
      <c r="B66" s="316"/>
      <c r="C66" s="316"/>
      <c r="D66" s="316"/>
      <c r="E66" s="317"/>
      <c r="G66" s="112"/>
    </row>
    <row r="67" spans="1:7" ht="15.75" x14ac:dyDescent="0.25">
      <c r="A67" s="101" t="s">
        <v>210</v>
      </c>
      <c r="B67" s="297" t="s">
        <v>203</v>
      </c>
      <c r="C67" s="310"/>
      <c r="D67" s="311"/>
      <c r="E67" s="102" t="s">
        <v>190</v>
      </c>
      <c r="G67" s="111"/>
    </row>
    <row r="68" spans="1:7" x14ac:dyDescent="0.25">
      <c r="A68" s="107" t="s">
        <v>189</v>
      </c>
      <c r="B68" s="297" t="s">
        <v>209</v>
      </c>
      <c r="C68" s="299"/>
      <c r="D68" s="109">
        <v>0</v>
      </c>
      <c r="E68" s="100">
        <f>ROUND(+$E$22*D68,2)</f>
        <v>0</v>
      </c>
    </row>
    <row r="69" spans="1:7" x14ac:dyDescent="0.25">
      <c r="A69" s="303" t="s">
        <v>192</v>
      </c>
      <c r="B69" s="304"/>
      <c r="C69" s="304"/>
      <c r="D69" s="110">
        <f>D68</f>
        <v>0</v>
      </c>
      <c r="E69" s="103">
        <f>E68</f>
        <v>0</v>
      </c>
    </row>
    <row r="70" spans="1:7" x14ac:dyDescent="0.25">
      <c r="A70" s="315" t="s">
        <v>208</v>
      </c>
      <c r="B70" s="316"/>
      <c r="C70" s="316"/>
      <c r="D70" s="318"/>
      <c r="E70" s="100"/>
    </row>
    <row r="71" spans="1:7" x14ac:dyDescent="0.25">
      <c r="A71" s="101">
        <v>4</v>
      </c>
      <c r="B71" s="297" t="s">
        <v>207</v>
      </c>
      <c r="C71" s="310"/>
      <c r="D71" s="311"/>
      <c r="E71" s="102" t="s">
        <v>190</v>
      </c>
    </row>
    <row r="72" spans="1:7" x14ac:dyDescent="0.25">
      <c r="A72" s="107" t="s">
        <v>206</v>
      </c>
      <c r="B72" s="312" t="s">
        <v>205</v>
      </c>
      <c r="C72" s="314"/>
      <c r="D72" s="109">
        <f>D65</f>
        <v>1.9800000000000002E-2</v>
      </c>
      <c r="E72" s="100">
        <f>E65</f>
        <v>87.092943695999992</v>
      </c>
    </row>
    <row r="73" spans="1:7" x14ac:dyDescent="0.25">
      <c r="A73" s="107" t="s">
        <v>204</v>
      </c>
      <c r="B73" s="312" t="s">
        <v>203</v>
      </c>
      <c r="C73" s="314"/>
      <c r="D73" s="109">
        <f>D69</f>
        <v>0</v>
      </c>
      <c r="E73" s="100">
        <f>E69</f>
        <v>0</v>
      </c>
    </row>
    <row r="74" spans="1:7" x14ac:dyDescent="0.25">
      <c r="A74" s="303" t="s">
        <v>202</v>
      </c>
      <c r="B74" s="304"/>
      <c r="C74" s="305"/>
      <c r="D74" s="108">
        <f>SUM(D69:D73)</f>
        <v>1.9800000000000002E-2</v>
      </c>
      <c r="E74" s="103">
        <f>SUM(E72+E73)</f>
        <v>87.092943695999992</v>
      </c>
    </row>
    <row r="75" spans="1:7" x14ac:dyDescent="0.25">
      <c r="A75" s="315" t="s">
        <v>201</v>
      </c>
      <c r="B75" s="316"/>
      <c r="C75" s="316"/>
      <c r="D75" s="316"/>
      <c r="E75" s="317"/>
    </row>
    <row r="76" spans="1:7" x14ac:dyDescent="0.25">
      <c r="A76" s="101">
        <v>5</v>
      </c>
      <c r="B76" s="297" t="s">
        <v>200</v>
      </c>
      <c r="C76" s="310"/>
      <c r="D76" s="311"/>
      <c r="E76" s="102" t="s">
        <v>190</v>
      </c>
    </row>
    <row r="77" spans="1:7" x14ac:dyDescent="0.25">
      <c r="A77" s="107" t="s">
        <v>189</v>
      </c>
      <c r="B77" s="312" t="s">
        <v>199</v>
      </c>
      <c r="C77" s="313"/>
      <c r="D77" s="314"/>
      <c r="E77" s="162">
        <f>Insumos!B13</f>
        <v>150.54</v>
      </c>
    </row>
    <row r="78" spans="1:7" x14ac:dyDescent="0.25">
      <c r="A78" s="107" t="s">
        <v>187</v>
      </c>
      <c r="B78" s="106" t="s">
        <v>198</v>
      </c>
      <c r="C78" s="105"/>
      <c r="D78" s="104"/>
      <c r="E78" s="100">
        <v>0</v>
      </c>
    </row>
    <row r="79" spans="1:7" x14ac:dyDescent="0.25">
      <c r="A79" s="107" t="s">
        <v>185</v>
      </c>
      <c r="B79" s="312" t="s">
        <v>197</v>
      </c>
      <c r="C79" s="313"/>
      <c r="D79" s="314"/>
      <c r="E79" s="100">
        <v>0</v>
      </c>
    </row>
    <row r="80" spans="1:7" x14ac:dyDescent="0.25">
      <c r="A80" s="107" t="s">
        <v>183</v>
      </c>
      <c r="B80" s="312" t="s">
        <v>196</v>
      </c>
      <c r="C80" s="313"/>
      <c r="D80" s="314"/>
      <c r="E80" s="100">
        <v>0</v>
      </c>
    </row>
    <row r="81" spans="1:5" x14ac:dyDescent="0.25">
      <c r="A81" s="107" t="s">
        <v>181</v>
      </c>
      <c r="B81" s="312" t="s">
        <v>195</v>
      </c>
      <c r="C81" s="313"/>
      <c r="D81" s="314"/>
      <c r="E81" s="100">
        <f>0</f>
        <v>0</v>
      </c>
    </row>
    <row r="82" spans="1:5" ht="15" customHeight="1" x14ac:dyDescent="0.25">
      <c r="A82" s="303" t="s">
        <v>194</v>
      </c>
      <c r="B82" s="304"/>
      <c r="C82" s="304"/>
      <c r="D82" s="305"/>
      <c r="E82" s="103">
        <f>SUM(E77:E81)</f>
        <v>150.54</v>
      </c>
    </row>
    <row r="83" spans="1:5" x14ac:dyDescent="0.25">
      <c r="A83" s="306" t="s">
        <v>193</v>
      </c>
      <c r="B83" s="307"/>
      <c r="C83" s="308" t="s">
        <v>192</v>
      </c>
      <c r="D83" s="307"/>
      <c r="E83" s="100">
        <f>SUM(E21+E48+E56+E74+E82)</f>
        <v>4485.726463695999</v>
      </c>
    </row>
    <row r="84" spans="1:5" x14ac:dyDescent="0.25">
      <c r="A84" s="306" t="s">
        <v>191</v>
      </c>
      <c r="B84" s="309"/>
      <c r="C84" s="309"/>
      <c r="D84" s="307"/>
      <c r="E84" s="102" t="s">
        <v>190</v>
      </c>
    </row>
    <row r="85" spans="1:5" x14ac:dyDescent="0.25">
      <c r="A85" s="101" t="s">
        <v>189</v>
      </c>
      <c r="B85" s="297" t="s">
        <v>188</v>
      </c>
      <c r="C85" s="298"/>
      <c r="D85" s="299"/>
      <c r="E85" s="100">
        <f>+E21</f>
        <v>2089.1799999999998</v>
      </c>
    </row>
    <row r="86" spans="1:5" x14ac:dyDescent="0.25">
      <c r="A86" s="101" t="s">
        <v>187</v>
      </c>
      <c r="B86" s="297" t="s">
        <v>186</v>
      </c>
      <c r="C86" s="298"/>
      <c r="D86" s="299"/>
      <c r="E86" s="100">
        <f>E48</f>
        <v>2009.51352</v>
      </c>
    </row>
    <row r="87" spans="1:5" x14ac:dyDescent="0.25">
      <c r="A87" s="101" t="s">
        <v>185</v>
      </c>
      <c r="B87" s="297" t="s">
        <v>184</v>
      </c>
      <c r="C87" s="298"/>
      <c r="D87" s="299"/>
      <c r="E87" s="100">
        <f>E56</f>
        <v>149.39999999999998</v>
      </c>
    </row>
    <row r="88" spans="1:5" ht="15" customHeight="1" x14ac:dyDescent="0.25">
      <c r="A88" s="101" t="s">
        <v>183</v>
      </c>
      <c r="B88" s="297" t="s">
        <v>182</v>
      </c>
      <c r="C88" s="298"/>
      <c r="D88" s="299"/>
      <c r="E88" s="100">
        <f>E74</f>
        <v>87.092943695999992</v>
      </c>
    </row>
    <row r="89" spans="1:5" x14ac:dyDescent="0.25">
      <c r="A89" s="101" t="s">
        <v>181</v>
      </c>
      <c r="B89" s="297" t="s">
        <v>180</v>
      </c>
      <c r="C89" s="298"/>
      <c r="D89" s="299"/>
      <c r="E89" s="100">
        <f>E82</f>
        <v>150.54</v>
      </c>
    </row>
    <row r="90" spans="1:5" ht="15.75" thickBot="1" x14ac:dyDescent="0.3">
      <c r="A90" s="300" t="s">
        <v>179</v>
      </c>
      <c r="B90" s="301"/>
      <c r="C90" s="301"/>
      <c r="D90" s="302"/>
      <c r="E90" s="99">
        <f>SUM(E85:E89)</f>
        <v>4485.726463695999</v>
      </c>
    </row>
    <row r="91" spans="1:5" x14ac:dyDescent="0.25">
      <c r="A91" s="98"/>
      <c r="B91" s="97"/>
      <c r="C91" s="97"/>
      <c r="D91" s="96"/>
      <c r="E91" s="95"/>
    </row>
    <row r="102" ht="15" customHeight="1" x14ac:dyDescent="0.25"/>
  </sheetData>
  <mergeCells count="89">
    <mergeCell ref="A1:E1"/>
    <mergeCell ref="C2:E2"/>
    <mergeCell ref="C3:E3"/>
    <mergeCell ref="C4:E4"/>
    <mergeCell ref="C5:E5"/>
    <mergeCell ref="A6:E6"/>
    <mergeCell ref="A7:E7"/>
    <mergeCell ref="A8:E8"/>
    <mergeCell ref="A9:D9"/>
    <mergeCell ref="C10:E10"/>
    <mergeCell ref="C12:E12"/>
    <mergeCell ref="C13:E13"/>
    <mergeCell ref="A14:E14"/>
    <mergeCell ref="B15:D15"/>
    <mergeCell ref="C16:D16"/>
    <mergeCell ref="C17:D17"/>
    <mergeCell ref="C18:D18"/>
    <mergeCell ref="C19:D19"/>
    <mergeCell ref="C20:D20"/>
    <mergeCell ref="A21:D21"/>
    <mergeCell ref="A22:E22"/>
    <mergeCell ref="B23:D23"/>
    <mergeCell ref="B24:C24"/>
    <mergeCell ref="B25:C25"/>
    <mergeCell ref="A26:C26"/>
    <mergeCell ref="A27:E27"/>
    <mergeCell ref="B28:D28"/>
    <mergeCell ref="B29:C29"/>
    <mergeCell ref="B30:C30"/>
    <mergeCell ref="B31:C31"/>
    <mergeCell ref="B32:C32"/>
    <mergeCell ref="B33:C33"/>
    <mergeCell ref="B34:C34"/>
    <mergeCell ref="B35:C35"/>
    <mergeCell ref="B36:C36"/>
    <mergeCell ref="B42:D42"/>
    <mergeCell ref="A43:D43"/>
    <mergeCell ref="A44:D44"/>
    <mergeCell ref="B45:D45"/>
    <mergeCell ref="A37:C37"/>
    <mergeCell ref="B38:D38"/>
    <mergeCell ref="B39:D39"/>
    <mergeCell ref="B40:D40"/>
    <mergeCell ref="B41:D41"/>
    <mergeCell ref="B46:D46"/>
    <mergeCell ref="B47:D47"/>
    <mergeCell ref="A48:D48"/>
    <mergeCell ref="A49:D49"/>
    <mergeCell ref="B50:D50"/>
    <mergeCell ref="B51:C51"/>
    <mergeCell ref="B52:C52"/>
    <mergeCell ref="B53:C53"/>
    <mergeCell ref="B54:C54"/>
    <mergeCell ref="B55:C55"/>
    <mergeCell ref="A56:C56"/>
    <mergeCell ref="A57:E57"/>
    <mergeCell ref="B58:D58"/>
    <mergeCell ref="B59:C59"/>
    <mergeCell ref="B60:C60"/>
    <mergeCell ref="B61:C61"/>
    <mergeCell ref="B62:C62"/>
    <mergeCell ref="B63:C63"/>
    <mergeCell ref="B64:C64"/>
    <mergeCell ref="A65:C65"/>
    <mergeCell ref="A66:E66"/>
    <mergeCell ref="B67:D67"/>
    <mergeCell ref="B68:C68"/>
    <mergeCell ref="A69:C69"/>
    <mergeCell ref="A70:D70"/>
    <mergeCell ref="B71:D71"/>
    <mergeCell ref="B72:C72"/>
    <mergeCell ref="B73:C73"/>
    <mergeCell ref="A74:C74"/>
    <mergeCell ref="A75:E75"/>
    <mergeCell ref="B76:D76"/>
    <mergeCell ref="B77:D77"/>
    <mergeCell ref="B79:D79"/>
    <mergeCell ref="B80:D80"/>
    <mergeCell ref="B81:D81"/>
    <mergeCell ref="A82:D82"/>
    <mergeCell ref="A83:B83"/>
    <mergeCell ref="C83:D83"/>
    <mergeCell ref="A84:D84"/>
    <mergeCell ref="B85:D85"/>
    <mergeCell ref="B86:D86"/>
    <mergeCell ref="B87:D87"/>
    <mergeCell ref="B88:D88"/>
    <mergeCell ref="B89:D89"/>
    <mergeCell ref="A90:D90"/>
  </mergeCells>
  <hyperlinks>
    <hyperlink ref="B36" r:id="rId1" display="08 - Sebrae 0,3% ou 0,6% - IN nº 03, MPS/SRP/2005, Anexo II e III ver código da Tabela"/>
  </hyperlinks>
  <pageMargins left="0.511811024" right="0.511811024" top="0.78740157499999996" bottom="0.78740157499999996" header="0.31496062000000002" footer="0.31496062000000002"/>
  <pageSetup paperSize="9" scale="88" orientation="portrait" r:id="rId2"/>
  <rowBreaks count="1" manualBreakCount="1">
    <brk id="43" max="4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8"/>
  <dimension ref="A1:H103"/>
  <sheetViews>
    <sheetView showGridLines="0" tabSelected="1" showWhiteSpace="0" view="pageBreakPreview" topLeftCell="A41" zoomScale="115" zoomScaleNormal="90" zoomScaleSheetLayoutView="115" workbookViewId="0">
      <selection activeCell="A57" sqref="A57"/>
    </sheetView>
  </sheetViews>
  <sheetFormatPr defaultRowHeight="15" x14ac:dyDescent="0.25"/>
  <cols>
    <col min="1" max="1" width="5.5703125" customWidth="1"/>
    <col min="2" max="2" width="45.28515625" customWidth="1"/>
    <col min="3" max="3" width="18.5703125" customWidth="1"/>
    <col min="4" max="4" width="14.140625" customWidth="1"/>
    <col min="5" max="5" width="20.42578125" customWidth="1"/>
    <col min="10" max="10" width="10.42578125" customWidth="1"/>
  </cols>
  <sheetData>
    <row r="1" spans="1:6" ht="21.75" thickBot="1" x14ac:dyDescent="0.3">
      <c r="A1" s="350" t="s">
        <v>282</v>
      </c>
      <c r="B1" s="351"/>
      <c r="C1" s="351"/>
      <c r="D1" s="351"/>
      <c r="E1" s="352"/>
    </row>
    <row r="2" spans="1:6" ht="34.5" customHeight="1" x14ac:dyDescent="0.25">
      <c r="A2" s="122" t="s">
        <v>189</v>
      </c>
      <c r="B2" s="128" t="s">
        <v>281</v>
      </c>
      <c r="C2" s="353" t="s">
        <v>332</v>
      </c>
      <c r="D2" s="354"/>
      <c r="E2" s="355"/>
    </row>
    <row r="3" spans="1:6" x14ac:dyDescent="0.25">
      <c r="A3" s="122" t="s">
        <v>187</v>
      </c>
      <c r="B3" s="128" t="s">
        <v>280</v>
      </c>
      <c r="C3" s="356" t="str">
        <f>C10</f>
        <v>Prestação de Serviços de Transporte Escolar</v>
      </c>
      <c r="D3" s="357"/>
      <c r="E3" s="358"/>
    </row>
    <row r="4" spans="1:6" ht="25.5" x14ac:dyDescent="0.25">
      <c r="A4" s="122" t="s">
        <v>185</v>
      </c>
      <c r="B4" s="128" t="s">
        <v>279</v>
      </c>
      <c r="C4" s="356" t="s">
        <v>334</v>
      </c>
      <c r="D4" s="357"/>
      <c r="E4" s="358"/>
      <c r="F4" t="s">
        <v>278</v>
      </c>
    </row>
    <row r="5" spans="1:6" x14ac:dyDescent="0.25">
      <c r="A5" s="122" t="s">
        <v>183</v>
      </c>
      <c r="B5" s="128" t="s">
        <v>277</v>
      </c>
      <c r="C5" s="356">
        <v>12</v>
      </c>
      <c r="D5" s="357"/>
      <c r="E5" s="358"/>
    </row>
    <row r="6" spans="1:6" x14ac:dyDescent="0.25">
      <c r="A6" s="341" t="s">
        <v>276</v>
      </c>
      <c r="B6" s="342"/>
      <c r="C6" s="342"/>
      <c r="D6" s="342"/>
      <c r="E6" s="343"/>
    </row>
    <row r="7" spans="1:6" x14ac:dyDescent="0.25">
      <c r="A7" s="344" t="s">
        <v>275</v>
      </c>
      <c r="B7" s="345"/>
      <c r="C7" s="345"/>
      <c r="D7" s="345"/>
      <c r="E7" s="346"/>
    </row>
    <row r="8" spans="1:6" x14ac:dyDescent="0.25">
      <c r="A8" s="347" t="s">
        <v>274</v>
      </c>
      <c r="B8" s="348"/>
      <c r="C8" s="348"/>
      <c r="D8" s="348"/>
      <c r="E8" s="349"/>
    </row>
    <row r="9" spans="1:6" x14ac:dyDescent="0.25">
      <c r="A9" s="306" t="s">
        <v>273</v>
      </c>
      <c r="B9" s="309"/>
      <c r="C9" s="309"/>
      <c r="D9" s="307"/>
      <c r="E9" s="102" t="s">
        <v>190</v>
      </c>
    </row>
    <row r="10" spans="1:6" ht="27.75" customHeight="1" x14ac:dyDescent="0.25">
      <c r="A10" s="122">
        <v>1</v>
      </c>
      <c r="B10" s="123" t="s">
        <v>272</v>
      </c>
      <c r="C10" s="333" t="s">
        <v>271</v>
      </c>
      <c r="D10" s="334"/>
      <c r="E10" s="335"/>
    </row>
    <row r="11" spans="1:6" x14ac:dyDescent="0.25">
      <c r="A11" s="122">
        <v>2</v>
      </c>
      <c r="B11" s="127" t="s">
        <v>270</v>
      </c>
      <c r="C11" s="126"/>
      <c r="D11" s="125"/>
      <c r="E11" s="124">
        <v>4380.1899999999996</v>
      </c>
    </row>
    <row r="12" spans="1:6" ht="25.5" x14ac:dyDescent="0.25">
      <c r="A12" s="122">
        <v>3</v>
      </c>
      <c r="B12" s="123" t="s">
        <v>269</v>
      </c>
      <c r="C12" s="333" t="s">
        <v>268</v>
      </c>
      <c r="D12" s="334"/>
      <c r="E12" s="335"/>
    </row>
    <row r="13" spans="1:6" x14ac:dyDescent="0.25">
      <c r="A13" s="122">
        <v>4</v>
      </c>
      <c r="B13" s="121" t="s">
        <v>267</v>
      </c>
      <c r="C13" s="336">
        <v>46023</v>
      </c>
      <c r="D13" s="337"/>
      <c r="E13" s="338"/>
    </row>
    <row r="14" spans="1:6" x14ac:dyDescent="0.25">
      <c r="A14" s="315" t="s">
        <v>266</v>
      </c>
      <c r="B14" s="316"/>
      <c r="C14" s="316"/>
      <c r="D14" s="316"/>
      <c r="E14" s="317"/>
    </row>
    <row r="15" spans="1:6" x14ac:dyDescent="0.25">
      <c r="A15" s="101">
        <v>1</v>
      </c>
      <c r="B15" s="297" t="s">
        <v>265</v>
      </c>
      <c r="C15" s="310"/>
      <c r="D15" s="311"/>
      <c r="E15" s="102" t="s">
        <v>190</v>
      </c>
    </row>
    <row r="16" spans="1:6" x14ac:dyDescent="0.25">
      <c r="A16" s="119" t="s">
        <v>189</v>
      </c>
      <c r="B16" s="118" t="s">
        <v>264</v>
      </c>
      <c r="C16" s="339"/>
      <c r="D16" s="340"/>
      <c r="E16" s="117">
        <f>E11</f>
        <v>4380.1899999999996</v>
      </c>
    </row>
    <row r="17" spans="1:5" ht="15" customHeight="1" x14ac:dyDescent="0.25">
      <c r="A17" s="119" t="s">
        <v>187</v>
      </c>
      <c r="B17" s="118" t="s">
        <v>263</v>
      </c>
      <c r="C17" s="331" t="s">
        <v>262</v>
      </c>
      <c r="D17" s="332"/>
      <c r="E17" s="115">
        <v>0</v>
      </c>
    </row>
    <row r="18" spans="1:5" x14ac:dyDescent="0.25">
      <c r="A18" s="119" t="s">
        <v>185</v>
      </c>
      <c r="B18" s="120" t="s">
        <v>261</v>
      </c>
      <c r="C18" s="331" t="s">
        <v>260</v>
      </c>
      <c r="D18" s="332"/>
      <c r="E18" s="115">
        <v>0</v>
      </c>
    </row>
    <row r="19" spans="1:5" ht="15" customHeight="1" x14ac:dyDescent="0.25">
      <c r="A19" s="119" t="s">
        <v>183</v>
      </c>
      <c r="B19" s="118" t="s">
        <v>259</v>
      </c>
      <c r="C19" s="331" t="s">
        <v>258</v>
      </c>
      <c r="D19" s="332"/>
      <c r="E19" s="115">
        <v>0</v>
      </c>
    </row>
    <row r="20" spans="1:5" ht="24" customHeight="1" x14ac:dyDescent="0.25">
      <c r="A20" s="119" t="s">
        <v>181</v>
      </c>
      <c r="B20" s="118" t="s">
        <v>257</v>
      </c>
      <c r="C20" s="331" t="s">
        <v>256</v>
      </c>
      <c r="D20" s="332"/>
      <c r="E20" s="115">
        <v>0</v>
      </c>
    </row>
    <row r="21" spans="1:5" x14ac:dyDescent="0.25">
      <c r="A21" s="303" t="s">
        <v>255</v>
      </c>
      <c r="B21" s="304"/>
      <c r="C21" s="304"/>
      <c r="D21" s="305"/>
      <c r="E21" s="103">
        <f>SUM(E16:E20)</f>
        <v>4380.1899999999996</v>
      </c>
    </row>
    <row r="22" spans="1:5" x14ac:dyDescent="0.25">
      <c r="A22" s="315" t="s">
        <v>254</v>
      </c>
      <c r="B22" s="316"/>
      <c r="C22" s="316"/>
      <c r="D22" s="316"/>
      <c r="E22" s="317"/>
    </row>
    <row r="23" spans="1:5" x14ac:dyDescent="0.25">
      <c r="A23" s="101" t="s">
        <v>233</v>
      </c>
      <c r="B23" s="297" t="s">
        <v>253</v>
      </c>
      <c r="C23" s="310"/>
      <c r="D23" s="311"/>
      <c r="E23" s="102" t="s">
        <v>190</v>
      </c>
    </row>
    <row r="24" spans="1:5" x14ac:dyDescent="0.25">
      <c r="A24" s="107" t="s">
        <v>189</v>
      </c>
      <c r="B24" s="297" t="s">
        <v>252</v>
      </c>
      <c r="C24" s="299"/>
      <c r="D24" s="109">
        <f>1/12</f>
        <v>8.3333333333333329E-2</v>
      </c>
      <c r="E24" s="100">
        <f>ROUND(+$E$21*D24,2)</f>
        <v>365.02</v>
      </c>
    </row>
    <row r="25" spans="1:5" x14ac:dyDescent="0.25">
      <c r="A25" s="107" t="s">
        <v>187</v>
      </c>
      <c r="B25" s="297" t="s">
        <v>251</v>
      </c>
      <c r="C25" s="299"/>
      <c r="D25" s="109">
        <v>0.1111</v>
      </c>
      <c r="E25" s="100">
        <f>ROUND(+$E$21*D25,2)</f>
        <v>486.64</v>
      </c>
    </row>
    <row r="26" spans="1:5" x14ac:dyDescent="0.25">
      <c r="A26" s="303" t="s">
        <v>192</v>
      </c>
      <c r="B26" s="304"/>
      <c r="C26" s="325"/>
      <c r="D26" s="110">
        <f>SUM(D24:D25)</f>
        <v>0.19443333333333335</v>
      </c>
      <c r="E26" s="103">
        <f>SUM(E24:E25)</f>
        <v>851.66</v>
      </c>
    </row>
    <row r="27" spans="1:5" ht="26.25" customHeight="1" x14ac:dyDescent="0.25">
      <c r="A27" s="328" t="s">
        <v>250</v>
      </c>
      <c r="B27" s="329"/>
      <c r="C27" s="329"/>
      <c r="D27" s="329"/>
      <c r="E27" s="330"/>
    </row>
    <row r="28" spans="1:5" x14ac:dyDescent="0.25">
      <c r="A28" s="101" t="s">
        <v>231</v>
      </c>
      <c r="B28" s="297" t="s">
        <v>249</v>
      </c>
      <c r="C28" s="310"/>
      <c r="D28" s="311"/>
      <c r="E28" s="102" t="s">
        <v>190</v>
      </c>
    </row>
    <row r="29" spans="1:5" x14ac:dyDescent="0.25">
      <c r="A29" s="107" t="s">
        <v>189</v>
      </c>
      <c r="B29" s="323" t="s">
        <v>248</v>
      </c>
      <c r="C29" s="324"/>
      <c r="D29" s="109">
        <v>0.2</v>
      </c>
      <c r="E29" s="100">
        <f>(E21+E26)*D29</f>
        <v>1046.3699999999999</v>
      </c>
    </row>
    <row r="30" spans="1:5" x14ac:dyDescent="0.25">
      <c r="A30" s="107" t="s">
        <v>187</v>
      </c>
      <c r="B30" s="323" t="s">
        <v>247</v>
      </c>
      <c r="C30" s="324"/>
      <c r="D30" s="109">
        <v>1.4999999999999999E-2</v>
      </c>
      <c r="E30" s="100">
        <f>(E21+E26)*D30</f>
        <v>78.477749999999986</v>
      </c>
    </row>
    <row r="31" spans="1:5" x14ac:dyDescent="0.25">
      <c r="A31" s="107" t="s">
        <v>185</v>
      </c>
      <c r="B31" s="323" t="s">
        <v>246</v>
      </c>
      <c r="C31" s="324"/>
      <c r="D31" s="109">
        <v>0.01</v>
      </c>
      <c r="E31" s="100">
        <f>(E21+E26)*D31</f>
        <v>52.318499999999993</v>
      </c>
    </row>
    <row r="32" spans="1:5" x14ac:dyDescent="0.25">
      <c r="A32" s="107" t="s">
        <v>183</v>
      </c>
      <c r="B32" s="323" t="s">
        <v>245</v>
      </c>
      <c r="C32" s="324"/>
      <c r="D32" s="109">
        <v>2E-3</v>
      </c>
      <c r="E32" s="100">
        <f>(E21+E26)*D32</f>
        <v>10.463699999999999</v>
      </c>
    </row>
    <row r="33" spans="1:5" x14ac:dyDescent="0.25">
      <c r="A33" s="107" t="s">
        <v>181</v>
      </c>
      <c r="B33" s="323" t="s">
        <v>244</v>
      </c>
      <c r="C33" s="324"/>
      <c r="D33" s="109">
        <v>2.5000000000000001E-2</v>
      </c>
      <c r="E33" s="100">
        <f>(E21+E26)*D33</f>
        <v>130.79624999999999</v>
      </c>
    </row>
    <row r="34" spans="1:5" x14ac:dyDescent="0.25">
      <c r="A34" s="107" t="s">
        <v>213</v>
      </c>
      <c r="B34" s="323" t="s">
        <v>243</v>
      </c>
      <c r="C34" s="324"/>
      <c r="D34" s="109">
        <v>0.08</v>
      </c>
      <c r="E34" s="100">
        <f>(E21+E26)*D34</f>
        <v>418.54799999999994</v>
      </c>
    </row>
    <row r="35" spans="1:5" x14ac:dyDescent="0.25">
      <c r="A35" s="107" t="s">
        <v>242</v>
      </c>
      <c r="B35" s="323" t="s">
        <v>241</v>
      </c>
      <c r="C35" s="324"/>
      <c r="D35" s="109">
        <v>0.03</v>
      </c>
      <c r="E35" s="100">
        <f>(E21+E26)*D35</f>
        <v>156.95549999999997</v>
      </c>
    </row>
    <row r="36" spans="1:5" x14ac:dyDescent="0.25">
      <c r="A36" s="107" t="s">
        <v>240</v>
      </c>
      <c r="B36" s="326" t="s">
        <v>239</v>
      </c>
      <c r="C36" s="327"/>
      <c r="D36" s="109">
        <v>6.0000000000000001E-3</v>
      </c>
      <c r="E36" s="100">
        <f>(E21+E26)*D36</f>
        <v>31.391099999999998</v>
      </c>
    </row>
    <row r="37" spans="1:5" x14ac:dyDescent="0.25">
      <c r="A37" s="303" t="s">
        <v>192</v>
      </c>
      <c r="B37" s="304"/>
      <c r="C37" s="325"/>
      <c r="D37" s="110">
        <f>SUM(D29:D36)</f>
        <v>0.3680000000000001</v>
      </c>
      <c r="E37" s="103">
        <f>SUM(E29:E36)</f>
        <v>1925.3208</v>
      </c>
    </row>
    <row r="38" spans="1:5" x14ac:dyDescent="0.25">
      <c r="A38" s="101" t="s">
        <v>229</v>
      </c>
      <c r="B38" s="297" t="s">
        <v>238</v>
      </c>
      <c r="C38" s="310"/>
      <c r="D38" s="311"/>
      <c r="E38" s="102" t="s">
        <v>190</v>
      </c>
    </row>
    <row r="39" spans="1:5" x14ac:dyDescent="0.25">
      <c r="A39" s="107" t="s">
        <v>189</v>
      </c>
      <c r="B39" s="312" t="s">
        <v>237</v>
      </c>
      <c r="C39" s="313"/>
      <c r="D39" s="314"/>
      <c r="E39" s="116">
        <v>0</v>
      </c>
    </row>
    <row r="40" spans="1:5" x14ac:dyDescent="0.25">
      <c r="A40" s="107" t="s">
        <v>187</v>
      </c>
      <c r="B40" s="312" t="s">
        <v>333</v>
      </c>
      <c r="C40" s="313"/>
      <c r="D40" s="314"/>
      <c r="E40" s="117">
        <v>685</v>
      </c>
    </row>
    <row r="41" spans="1:5" x14ac:dyDescent="0.25">
      <c r="A41" s="107" t="s">
        <v>185</v>
      </c>
      <c r="B41" s="312" t="s">
        <v>284</v>
      </c>
      <c r="C41" s="313"/>
      <c r="D41" s="314"/>
      <c r="E41" s="116">
        <v>0</v>
      </c>
    </row>
    <row r="42" spans="1:5" x14ac:dyDescent="0.25">
      <c r="A42" s="107" t="s">
        <v>183</v>
      </c>
      <c r="B42" s="312" t="s">
        <v>236</v>
      </c>
      <c r="C42" s="313"/>
      <c r="D42" s="314"/>
      <c r="E42" s="100">
        <v>0</v>
      </c>
    </row>
    <row r="43" spans="1:5" x14ac:dyDescent="0.25">
      <c r="A43" s="303" t="s">
        <v>235</v>
      </c>
      <c r="B43" s="304"/>
      <c r="C43" s="304"/>
      <c r="D43" s="305"/>
      <c r="E43" s="103">
        <f>SUM(E39:E42)</f>
        <v>685</v>
      </c>
    </row>
    <row r="44" spans="1:5" x14ac:dyDescent="0.25">
      <c r="A44" s="315" t="s">
        <v>234</v>
      </c>
      <c r="B44" s="316"/>
      <c r="C44" s="316"/>
      <c r="D44" s="318"/>
      <c r="E44" s="102" t="s">
        <v>190</v>
      </c>
    </row>
    <row r="45" spans="1:5" x14ac:dyDescent="0.25">
      <c r="A45" s="101" t="s">
        <v>233</v>
      </c>
      <c r="B45" s="297" t="s">
        <v>232</v>
      </c>
      <c r="C45" s="310"/>
      <c r="D45" s="311"/>
      <c r="E45" s="114">
        <f>E26</f>
        <v>851.66</v>
      </c>
    </row>
    <row r="46" spans="1:5" x14ac:dyDescent="0.25">
      <c r="A46" s="101" t="s">
        <v>231</v>
      </c>
      <c r="B46" s="297" t="s">
        <v>230</v>
      </c>
      <c r="C46" s="298"/>
      <c r="D46" s="299"/>
      <c r="E46" s="100">
        <f>E37</f>
        <v>1925.3208</v>
      </c>
    </row>
    <row r="47" spans="1:5" x14ac:dyDescent="0.25">
      <c r="A47" s="101" t="s">
        <v>229</v>
      </c>
      <c r="B47" s="297" t="s">
        <v>228</v>
      </c>
      <c r="C47" s="298"/>
      <c r="D47" s="299"/>
      <c r="E47" s="100">
        <f>E43</f>
        <v>685</v>
      </c>
    </row>
    <row r="48" spans="1:5" ht="15" customHeight="1" x14ac:dyDescent="0.25">
      <c r="A48" s="303" t="s">
        <v>192</v>
      </c>
      <c r="B48" s="304"/>
      <c r="C48" s="304"/>
      <c r="D48" s="305"/>
      <c r="E48" s="103">
        <f>SUM(E45:E47)</f>
        <v>3461.9807999999998</v>
      </c>
    </row>
    <row r="49" spans="1:8" x14ac:dyDescent="0.25">
      <c r="A49" s="315" t="s">
        <v>227</v>
      </c>
      <c r="B49" s="316"/>
      <c r="C49" s="316"/>
      <c r="D49" s="318"/>
      <c r="E49" s="100"/>
    </row>
    <row r="50" spans="1:8" x14ac:dyDescent="0.25">
      <c r="A50" s="101" t="s">
        <v>226</v>
      </c>
      <c r="B50" s="297" t="s">
        <v>225</v>
      </c>
      <c r="C50" s="310"/>
      <c r="D50" s="311"/>
      <c r="E50" s="102" t="s">
        <v>190</v>
      </c>
    </row>
    <row r="51" spans="1:8" x14ac:dyDescent="0.25">
      <c r="A51" s="107" t="s">
        <v>189</v>
      </c>
      <c r="B51" s="312" t="s">
        <v>224</v>
      </c>
      <c r="C51" s="314"/>
      <c r="D51" s="109">
        <v>4.1999999999999997E-3</v>
      </c>
      <c r="E51" s="100">
        <f>ROUND(+D51*$E$21,2)</f>
        <v>18.399999999999999</v>
      </c>
    </row>
    <row r="52" spans="1:8" x14ac:dyDescent="0.25">
      <c r="A52" s="107" t="s">
        <v>187</v>
      </c>
      <c r="B52" s="312" t="s">
        <v>223</v>
      </c>
      <c r="C52" s="314"/>
      <c r="D52" s="109">
        <f>D34*D51</f>
        <v>3.3599999999999998E-4</v>
      </c>
      <c r="E52" s="100">
        <f>ROUND(+D52*$E$21,2)</f>
        <v>1.47</v>
      </c>
    </row>
    <row r="53" spans="1:8" x14ac:dyDescent="0.25">
      <c r="A53" s="107" t="s">
        <v>185</v>
      </c>
      <c r="B53" s="323" t="s">
        <v>222</v>
      </c>
      <c r="C53" s="324"/>
      <c r="D53" s="109">
        <v>1.9400000000000001E-2</v>
      </c>
      <c r="E53" s="100">
        <f>ROUND(+D53*$E$21,2)</f>
        <v>84.98</v>
      </c>
    </row>
    <row r="54" spans="1:8" ht="25.5" customHeight="1" x14ac:dyDescent="0.25">
      <c r="A54" s="107" t="s">
        <v>183</v>
      </c>
      <c r="B54" s="312" t="s">
        <v>221</v>
      </c>
      <c r="C54" s="314"/>
      <c r="D54" s="109">
        <f>D37*D53</f>
        <v>7.1392000000000027E-3</v>
      </c>
      <c r="E54" s="100">
        <f>ROUND(+D54*$E$21,2)</f>
        <v>31.27</v>
      </c>
    </row>
    <row r="55" spans="1:8" ht="36.75" customHeight="1" x14ac:dyDescent="0.25">
      <c r="A55" s="107" t="s">
        <v>181</v>
      </c>
      <c r="B55" s="312" t="s">
        <v>220</v>
      </c>
      <c r="C55" s="314"/>
      <c r="D55" s="109">
        <f>4%</f>
        <v>0.04</v>
      </c>
      <c r="E55" s="100">
        <f>ROUND(+D55*$E$21,2)</f>
        <v>175.21</v>
      </c>
      <c r="H55" s="113"/>
    </row>
    <row r="56" spans="1:8" x14ac:dyDescent="0.25">
      <c r="A56" s="303" t="s">
        <v>192</v>
      </c>
      <c r="B56" s="304"/>
      <c r="C56" s="304"/>
      <c r="D56" s="108">
        <f>SUM(D51:D55)</f>
        <v>7.1075200000000005E-2</v>
      </c>
      <c r="E56" s="103">
        <f>SUM(E51:E55)</f>
        <v>311.33000000000004</v>
      </c>
    </row>
    <row r="57" spans="1:8" x14ac:dyDescent="0.25">
      <c r="A57" s="315" t="s">
        <v>219</v>
      </c>
      <c r="B57" s="316"/>
      <c r="C57" s="316"/>
      <c r="D57" s="316"/>
      <c r="E57" s="317"/>
    </row>
    <row r="58" spans="1:8" x14ac:dyDescent="0.25">
      <c r="A58" s="101" t="s">
        <v>206</v>
      </c>
      <c r="B58" s="322" t="s">
        <v>205</v>
      </c>
      <c r="C58" s="316"/>
      <c r="D58" s="318"/>
      <c r="E58" s="102" t="s">
        <v>190</v>
      </c>
    </row>
    <row r="59" spans="1:8" ht="15.75" x14ac:dyDescent="0.25">
      <c r="A59" s="107" t="s">
        <v>189</v>
      </c>
      <c r="B59" s="312" t="s">
        <v>218</v>
      </c>
      <c r="C59" s="314"/>
      <c r="D59" s="109">
        <v>0</v>
      </c>
      <c r="E59" s="100">
        <f t="shared" ref="E59:E64" si="0">($E$21+$E$48+$E$56+$E$77)*D59</f>
        <v>0</v>
      </c>
      <c r="G59" s="112"/>
    </row>
    <row r="60" spans="1:8" ht="15.75" x14ac:dyDescent="0.25">
      <c r="A60" s="107" t="s">
        <v>187</v>
      </c>
      <c r="B60" s="312" t="s">
        <v>217</v>
      </c>
      <c r="C60" s="314"/>
      <c r="D60" s="109">
        <v>1.66E-2</v>
      </c>
      <c r="E60" s="100">
        <f t="shared" si="0"/>
        <v>137.84707728000001</v>
      </c>
      <c r="G60" s="112"/>
    </row>
    <row r="61" spans="1:8" ht="15.75" x14ac:dyDescent="0.25">
      <c r="A61" s="107" t="s">
        <v>185</v>
      </c>
      <c r="B61" s="312" t="s">
        <v>216</v>
      </c>
      <c r="C61" s="314"/>
      <c r="D61" s="109">
        <v>2.0000000000000001E-4</v>
      </c>
      <c r="E61" s="100">
        <f t="shared" si="0"/>
        <v>1.6608081600000002</v>
      </c>
      <c r="G61" s="112"/>
    </row>
    <row r="62" spans="1:8" ht="15.75" x14ac:dyDescent="0.25">
      <c r="A62" s="107" t="s">
        <v>183</v>
      </c>
      <c r="B62" s="312" t="s">
        <v>215</v>
      </c>
      <c r="C62" s="314"/>
      <c r="D62" s="109">
        <v>2.7000000000000001E-3</v>
      </c>
      <c r="E62" s="100">
        <f t="shared" si="0"/>
        <v>22.420910160000002</v>
      </c>
      <c r="G62" s="112"/>
    </row>
    <row r="63" spans="1:8" ht="15.75" x14ac:dyDescent="0.25">
      <c r="A63" s="107" t="s">
        <v>181</v>
      </c>
      <c r="B63" s="312" t="s">
        <v>214</v>
      </c>
      <c r="C63" s="314"/>
      <c r="D63" s="109">
        <v>2.9999999999999997E-4</v>
      </c>
      <c r="E63" s="100">
        <f t="shared" si="0"/>
        <v>2.4912122399999999</v>
      </c>
      <c r="G63" s="112"/>
    </row>
    <row r="64" spans="1:8" ht="15.75" x14ac:dyDescent="0.25">
      <c r="A64" s="107" t="s">
        <v>213</v>
      </c>
      <c r="B64" s="312" t="s">
        <v>212</v>
      </c>
      <c r="C64" s="314"/>
      <c r="D64" s="109">
        <v>0</v>
      </c>
      <c r="E64" s="100">
        <f t="shared" si="0"/>
        <v>0</v>
      </c>
      <c r="G64" s="112"/>
    </row>
    <row r="65" spans="1:7" ht="15.75" x14ac:dyDescent="0.25">
      <c r="A65" s="319" t="s">
        <v>211</v>
      </c>
      <c r="B65" s="320"/>
      <c r="C65" s="321"/>
      <c r="D65" s="108">
        <f>SUM(D59:D64)</f>
        <v>1.9800000000000002E-2</v>
      </c>
      <c r="E65" s="103">
        <f>SUM(E59:E64)</f>
        <v>164.42000784000001</v>
      </c>
      <c r="G65" s="112"/>
    </row>
    <row r="66" spans="1:7" ht="15.75" x14ac:dyDescent="0.25">
      <c r="A66" s="315"/>
      <c r="B66" s="316"/>
      <c r="C66" s="316"/>
      <c r="D66" s="316"/>
      <c r="E66" s="317"/>
      <c r="G66" s="112"/>
    </row>
    <row r="67" spans="1:7" ht="15.75" x14ac:dyDescent="0.25">
      <c r="A67" s="101" t="s">
        <v>210</v>
      </c>
      <c r="B67" s="297" t="s">
        <v>203</v>
      </c>
      <c r="C67" s="310"/>
      <c r="D67" s="311"/>
      <c r="E67" s="102" t="s">
        <v>190</v>
      </c>
      <c r="G67" s="111"/>
    </row>
    <row r="68" spans="1:7" x14ac:dyDescent="0.25">
      <c r="A68" s="107" t="s">
        <v>189</v>
      </c>
      <c r="B68" s="297" t="s">
        <v>209</v>
      </c>
      <c r="C68" s="299"/>
      <c r="D68" s="109">
        <v>0</v>
      </c>
      <c r="E68" s="100">
        <f>ROUND(+$E$22*D68,2)</f>
        <v>0</v>
      </c>
    </row>
    <row r="69" spans="1:7" x14ac:dyDescent="0.25">
      <c r="A69" s="303" t="s">
        <v>192</v>
      </c>
      <c r="B69" s="304"/>
      <c r="C69" s="304"/>
      <c r="D69" s="110">
        <f>D68</f>
        <v>0</v>
      </c>
      <c r="E69" s="103">
        <f>E68</f>
        <v>0</v>
      </c>
    </row>
    <row r="70" spans="1:7" x14ac:dyDescent="0.25">
      <c r="A70" s="315" t="s">
        <v>208</v>
      </c>
      <c r="B70" s="316"/>
      <c r="C70" s="316"/>
      <c r="D70" s="318"/>
      <c r="E70" s="100"/>
    </row>
    <row r="71" spans="1:7" x14ac:dyDescent="0.25">
      <c r="A71" s="101">
        <v>4</v>
      </c>
      <c r="B71" s="297" t="s">
        <v>207</v>
      </c>
      <c r="C71" s="310"/>
      <c r="D71" s="311"/>
      <c r="E71" s="102" t="s">
        <v>190</v>
      </c>
    </row>
    <row r="72" spans="1:7" x14ac:dyDescent="0.25">
      <c r="A72" s="107" t="s">
        <v>206</v>
      </c>
      <c r="B72" s="312" t="s">
        <v>205</v>
      </c>
      <c r="C72" s="314"/>
      <c r="D72" s="109">
        <f>D65</f>
        <v>1.9800000000000002E-2</v>
      </c>
      <c r="E72" s="100">
        <f>E65</f>
        <v>164.42000784000001</v>
      </c>
    </row>
    <row r="73" spans="1:7" x14ac:dyDescent="0.25">
      <c r="A73" s="107" t="s">
        <v>204</v>
      </c>
      <c r="B73" s="312" t="s">
        <v>203</v>
      </c>
      <c r="C73" s="314"/>
      <c r="D73" s="109">
        <f>D69</f>
        <v>0</v>
      </c>
      <c r="E73" s="100">
        <f>E69</f>
        <v>0</v>
      </c>
    </row>
    <row r="74" spans="1:7" x14ac:dyDescent="0.25">
      <c r="A74" s="303" t="s">
        <v>202</v>
      </c>
      <c r="B74" s="304"/>
      <c r="C74" s="305"/>
      <c r="D74" s="108">
        <f>SUM(D69:D73)</f>
        <v>1.9800000000000002E-2</v>
      </c>
      <c r="E74" s="103">
        <f>SUM(E72+E73)</f>
        <v>164.42000784000001</v>
      </c>
    </row>
    <row r="75" spans="1:7" x14ac:dyDescent="0.25">
      <c r="A75" s="315" t="s">
        <v>201</v>
      </c>
      <c r="B75" s="316"/>
      <c r="C75" s="316"/>
      <c r="D75" s="316"/>
      <c r="E75" s="317"/>
    </row>
    <row r="76" spans="1:7" x14ac:dyDescent="0.25">
      <c r="A76" s="101">
        <v>5</v>
      </c>
      <c r="B76" s="297" t="s">
        <v>200</v>
      </c>
      <c r="C76" s="310"/>
      <c r="D76" s="311"/>
      <c r="E76" s="102" t="s">
        <v>190</v>
      </c>
    </row>
    <row r="77" spans="1:7" x14ac:dyDescent="0.25">
      <c r="A77" s="107" t="s">
        <v>189</v>
      </c>
      <c r="B77" s="312" t="s">
        <v>199</v>
      </c>
      <c r="C77" s="313"/>
      <c r="D77" s="314"/>
      <c r="E77" s="162">
        <f>Insumos!B13</f>
        <v>150.54</v>
      </c>
    </row>
    <row r="78" spans="1:7" x14ac:dyDescent="0.25">
      <c r="A78" s="107" t="s">
        <v>187</v>
      </c>
      <c r="B78" s="106" t="s">
        <v>198</v>
      </c>
      <c r="C78" s="105"/>
      <c r="D78" s="104"/>
      <c r="E78" s="100">
        <v>0</v>
      </c>
    </row>
    <row r="79" spans="1:7" x14ac:dyDescent="0.25">
      <c r="A79" s="107" t="s">
        <v>185</v>
      </c>
      <c r="B79" s="312" t="s">
        <v>197</v>
      </c>
      <c r="C79" s="313"/>
      <c r="D79" s="314"/>
      <c r="E79" s="100">
        <v>0</v>
      </c>
    </row>
    <row r="80" spans="1:7" x14ac:dyDescent="0.25">
      <c r="A80" s="107" t="s">
        <v>183</v>
      </c>
      <c r="B80" s="312" t="s">
        <v>196</v>
      </c>
      <c r="C80" s="313"/>
      <c r="D80" s="314"/>
      <c r="E80" s="100">
        <v>0</v>
      </c>
    </row>
    <row r="81" spans="1:5" x14ac:dyDescent="0.25">
      <c r="A81" s="107" t="s">
        <v>181</v>
      </c>
      <c r="B81" s="312" t="s">
        <v>195</v>
      </c>
      <c r="C81" s="313"/>
      <c r="D81" s="314"/>
      <c r="E81" s="100">
        <f>0</f>
        <v>0</v>
      </c>
    </row>
    <row r="82" spans="1:5" ht="15" customHeight="1" x14ac:dyDescent="0.25">
      <c r="A82" s="303" t="s">
        <v>194</v>
      </c>
      <c r="B82" s="304"/>
      <c r="C82" s="304"/>
      <c r="D82" s="305"/>
      <c r="E82" s="103">
        <f>SUM(E77:E81)</f>
        <v>150.54</v>
      </c>
    </row>
    <row r="83" spans="1:5" x14ac:dyDescent="0.25">
      <c r="A83" s="306" t="s">
        <v>193</v>
      </c>
      <c r="B83" s="307"/>
      <c r="C83" s="308" t="s">
        <v>192</v>
      </c>
      <c r="D83" s="307"/>
      <c r="E83" s="100">
        <f>SUM(E21+E48+E56+E74+E82)</f>
        <v>8468.4608078400015</v>
      </c>
    </row>
    <row r="84" spans="1:5" ht="27" customHeight="1" x14ac:dyDescent="0.25">
      <c r="A84" s="306" t="s">
        <v>191</v>
      </c>
      <c r="B84" s="309"/>
      <c r="C84" s="309"/>
      <c r="D84" s="307"/>
      <c r="E84" s="102" t="s">
        <v>190</v>
      </c>
    </row>
    <row r="85" spans="1:5" x14ac:dyDescent="0.25">
      <c r="A85" s="101" t="s">
        <v>189</v>
      </c>
      <c r="B85" s="297" t="s">
        <v>188</v>
      </c>
      <c r="C85" s="298"/>
      <c r="D85" s="299"/>
      <c r="E85" s="100">
        <f>+E21</f>
        <v>4380.1899999999996</v>
      </c>
    </row>
    <row r="86" spans="1:5" x14ac:dyDescent="0.25">
      <c r="A86" s="101" t="s">
        <v>187</v>
      </c>
      <c r="B86" s="297" t="s">
        <v>186</v>
      </c>
      <c r="C86" s="298"/>
      <c r="D86" s="299"/>
      <c r="E86" s="100">
        <f>E48</f>
        <v>3461.9807999999998</v>
      </c>
    </row>
    <row r="87" spans="1:5" x14ac:dyDescent="0.25">
      <c r="A87" s="101" t="s">
        <v>185</v>
      </c>
      <c r="B87" s="297" t="s">
        <v>184</v>
      </c>
      <c r="C87" s="298"/>
      <c r="D87" s="299"/>
      <c r="E87" s="100">
        <f>E56</f>
        <v>311.33000000000004</v>
      </c>
    </row>
    <row r="88" spans="1:5" x14ac:dyDescent="0.25">
      <c r="A88" s="101" t="s">
        <v>183</v>
      </c>
      <c r="B88" s="297" t="s">
        <v>182</v>
      </c>
      <c r="C88" s="298"/>
      <c r="D88" s="299"/>
      <c r="E88" s="100">
        <f>E74</f>
        <v>164.42000784000001</v>
      </c>
    </row>
    <row r="89" spans="1:5" ht="15" customHeight="1" x14ac:dyDescent="0.25">
      <c r="A89" s="101" t="s">
        <v>181</v>
      </c>
      <c r="B89" s="297" t="s">
        <v>180</v>
      </c>
      <c r="C89" s="298"/>
      <c r="D89" s="299"/>
      <c r="E89" s="100">
        <f>E82</f>
        <v>150.54</v>
      </c>
    </row>
    <row r="90" spans="1:5" ht="15.75" thickBot="1" x14ac:dyDescent="0.3">
      <c r="A90" s="300" t="s">
        <v>179</v>
      </c>
      <c r="B90" s="301"/>
      <c r="C90" s="301"/>
      <c r="D90" s="302"/>
      <c r="E90" s="99">
        <f>SUM(E85:E89)</f>
        <v>8468.4608078400015</v>
      </c>
    </row>
    <row r="91" spans="1:5" x14ac:dyDescent="0.25">
      <c r="A91" s="98"/>
      <c r="B91" s="97"/>
      <c r="C91" s="97"/>
      <c r="D91" s="96"/>
      <c r="E91" s="95"/>
    </row>
    <row r="103" ht="15" customHeight="1" x14ac:dyDescent="0.25"/>
  </sheetData>
  <mergeCells count="89">
    <mergeCell ref="A1:E1"/>
    <mergeCell ref="C2:E2"/>
    <mergeCell ref="C3:E3"/>
    <mergeCell ref="C4:E4"/>
    <mergeCell ref="C5:E5"/>
    <mergeCell ref="A6:E6"/>
    <mergeCell ref="A7:E7"/>
    <mergeCell ref="A8:E8"/>
    <mergeCell ref="A9:D9"/>
    <mergeCell ref="C10:E10"/>
    <mergeCell ref="C12:E12"/>
    <mergeCell ref="C13:E13"/>
    <mergeCell ref="A14:E14"/>
    <mergeCell ref="B15:D15"/>
    <mergeCell ref="C16:D16"/>
    <mergeCell ref="C17:D17"/>
    <mergeCell ref="C18:D18"/>
    <mergeCell ref="C19:D19"/>
    <mergeCell ref="C20:D20"/>
    <mergeCell ref="A21:D21"/>
    <mergeCell ref="A22:E22"/>
    <mergeCell ref="B23:D23"/>
    <mergeCell ref="B24:C24"/>
    <mergeCell ref="B25:C25"/>
    <mergeCell ref="A26:C26"/>
    <mergeCell ref="A27:E27"/>
    <mergeCell ref="B28:D28"/>
    <mergeCell ref="B29:C29"/>
    <mergeCell ref="B30:C30"/>
    <mergeCell ref="B31:C31"/>
    <mergeCell ref="B32:C32"/>
    <mergeCell ref="B33:C33"/>
    <mergeCell ref="B34:C34"/>
    <mergeCell ref="B35:C35"/>
    <mergeCell ref="B36:C36"/>
    <mergeCell ref="B42:D42"/>
    <mergeCell ref="A43:D43"/>
    <mergeCell ref="A44:D44"/>
    <mergeCell ref="B45:D45"/>
    <mergeCell ref="A37:C37"/>
    <mergeCell ref="B38:D38"/>
    <mergeCell ref="B39:D39"/>
    <mergeCell ref="B40:D40"/>
    <mergeCell ref="B41:D41"/>
    <mergeCell ref="B46:D46"/>
    <mergeCell ref="B47:D47"/>
    <mergeCell ref="A48:D48"/>
    <mergeCell ref="A49:D49"/>
    <mergeCell ref="B50:D50"/>
    <mergeCell ref="B51:C51"/>
    <mergeCell ref="B52:C52"/>
    <mergeCell ref="B53:C53"/>
    <mergeCell ref="B54:C54"/>
    <mergeCell ref="B55:C55"/>
    <mergeCell ref="A56:C56"/>
    <mergeCell ref="A57:E57"/>
    <mergeCell ref="B58:D58"/>
    <mergeCell ref="B59:C59"/>
    <mergeCell ref="B60:C60"/>
    <mergeCell ref="B61:C61"/>
    <mergeCell ref="B62:C62"/>
    <mergeCell ref="B63:C63"/>
    <mergeCell ref="B64:C64"/>
    <mergeCell ref="A65:C65"/>
    <mergeCell ref="A66:E66"/>
    <mergeCell ref="B67:D67"/>
    <mergeCell ref="B68:C68"/>
    <mergeCell ref="A69:C69"/>
    <mergeCell ref="A70:D70"/>
    <mergeCell ref="B71:D71"/>
    <mergeCell ref="B72:C72"/>
    <mergeCell ref="B73:C73"/>
    <mergeCell ref="A74:C74"/>
    <mergeCell ref="A75:E75"/>
    <mergeCell ref="B76:D76"/>
    <mergeCell ref="B77:D77"/>
    <mergeCell ref="B79:D79"/>
    <mergeCell ref="B80:D80"/>
    <mergeCell ref="B81:D81"/>
    <mergeCell ref="A82:D82"/>
    <mergeCell ref="A83:B83"/>
    <mergeCell ref="C83:D83"/>
    <mergeCell ref="A84:D84"/>
    <mergeCell ref="B85:D85"/>
    <mergeCell ref="B86:D86"/>
    <mergeCell ref="B87:D87"/>
    <mergeCell ref="B88:D88"/>
    <mergeCell ref="B89:D89"/>
    <mergeCell ref="A90:D90"/>
  </mergeCells>
  <hyperlinks>
    <hyperlink ref="B36" r:id="rId1" display="08 - Sebrae 0,3% ou 0,6% - IN nº 03, MPS/SRP/2005, Anexo II e III ver código da Tabela"/>
  </hyperlinks>
  <pageMargins left="0.511811024" right="0.511811024" top="0.78740157499999996" bottom="0.78740157499999996" header="0.31496062000000002" footer="0.31496062000000002"/>
  <pageSetup paperSize="9" scale="88" orientation="portrait" r:id="rId2"/>
  <rowBreaks count="1" manualBreakCount="1">
    <brk id="43" max="4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29"/>
  <dimension ref="B2:AM27"/>
  <sheetViews>
    <sheetView tabSelected="1" workbookViewId="0">
      <selection activeCell="A57" sqref="A57"/>
    </sheetView>
  </sheetViews>
  <sheetFormatPr defaultColWidth="8.85546875" defaultRowHeight="15" x14ac:dyDescent="0.25"/>
  <cols>
    <col min="7" max="7" width="10" customWidth="1"/>
    <col min="10" max="10" width="10.42578125" customWidth="1"/>
    <col min="11" max="11" width="4.28515625" customWidth="1"/>
    <col min="12" max="12" width="3.42578125" customWidth="1"/>
    <col min="13" max="13" width="4.42578125" customWidth="1"/>
    <col min="14" max="14" width="5.28515625" customWidth="1"/>
    <col min="15" max="15" width="4.42578125" customWidth="1"/>
    <col min="18" max="18" width="11.42578125" customWidth="1"/>
    <col min="19" max="19" width="5.28515625" customWidth="1"/>
    <col min="20" max="20" width="2.42578125" customWidth="1"/>
    <col min="23" max="23" width="5.42578125" customWidth="1"/>
    <col min="24" max="24" width="6" customWidth="1"/>
    <col min="25" max="25" width="2.42578125" customWidth="1"/>
    <col min="26" max="26" width="2" customWidth="1"/>
    <col min="29" max="29" width="4.28515625" customWidth="1"/>
    <col min="30" max="30" width="3.140625" customWidth="1"/>
    <col min="31" max="31" width="3.85546875" customWidth="1"/>
    <col min="32" max="33" width="2.7109375" customWidth="1"/>
    <col min="34" max="34" width="1.28515625" customWidth="1"/>
    <col min="35" max="35" width="4.7109375" customWidth="1"/>
    <col min="36" max="36" width="3.42578125" customWidth="1"/>
    <col min="37" max="37" width="1.85546875" customWidth="1"/>
    <col min="39" max="39" width="10.140625" bestFit="1" customWidth="1"/>
  </cols>
  <sheetData>
    <row r="2" spans="2:39" ht="18.75" x14ac:dyDescent="0.3">
      <c r="D2" s="182" t="s">
        <v>126</v>
      </c>
      <c r="E2" s="182"/>
      <c r="F2" s="182"/>
      <c r="G2" s="182"/>
      <c r="H2" s="182"/>
    </row>
    <row r="4" spans="2:39" ht="18.75" x14ac:dyDescent="0.3">
      <c r="D4" s="182" t="s">
        <v>127</v>
      </c>
      <c r="E4" s="182"/>
      <c r="F4" s="182"/>
      <c r="G4" s="182"/>
      <c r="H4" s="182"/>
      <c r="I4" s="182"/>
      <c r="J4" s="182"/>
      <c r="K4" s="182"/>
      <c r="L4" s="182"/>
      <c r="M4" s="182"/>
    </row>
    <row r="6" spans="2:39" ht="17.25" customHeight="1" x14ac:dyDescent="0.25">
      <c r="D6" s="44"/>
      <c r="E6" s="44"/>
      <c r="F6" s="44"/>
      <c r="G6" s="44"/>
      <c r="H6" s="44"/>
      <c r="Q6" s="194"/>
      <c r="R6" s="194"/>
      <c r="S6" s="194"/>
      <c r="T6" s="194"/>
      <c r="U6" s="194"/>
      <c r="V6" s="194"/>
      <c r="W6" s="194"/>
      <c r="X6" s="194"/>
      <c r="Y6" s="194"/>
      <c r="Z6" s="194"/>
      <c r="AA6" s="194"/>
      <c r="AB6" s="194"/>
      <c r="AC6" s="194"/>
      <c r="AD6" s="194"/>
      <c r="AE6" s="194"/>
      <c r="AF6" s="194"/>
      <c r="AG6" s="194"/>
      <c r="AH6" s="194"/>
      <c r="AI6" s="194"/>
      <c r="AJ6" s="194"/>
      <c r="AK6" s="194"/>
      <c r="AL6" s="194"/>
      <c r="AM6" s="194"/>
    </row>
    <row r="9" spans="2:39" ht="21" x14ac:dyDescent="0.35">
      <c r="B9" s="242" t="s">
        <v>105</v>
      </c>
      <c r="C9" s="242"/>
      <c r="D9" s="242"/>
      <c r="E9" s="242"/>
      <c r="F9" s="242"/>
      <c r="G9" s="242"/>
      <c r="H9" s="242"/>
      <c r="I9" s="242"/>
      <c r="J9" s="242"/>
      <c r="K9" s="242"/>
      <c r="L9" s="242"/>
      <c r="M9" s="242"/>
      <c r="N9" s="242"/>
      <c r="O9" s="242"/>
      <c r="Q9" s="32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3"/>
      <c r="AL9" s="33"/>
    </row>
    <row r="10" spans="2:39" ht="21" x14ac:dyDescent="0.35">
      <c r="B10" s="361" t="s">
        <v>91</v>
      </c>
      <c r="C10" s="361"/>
      <c r="D10" s="362" t="s">
        <v>92</v>
      </c>
      <c r="E10" s="362"/>
      <c r="F10" s="362"/>
      <c r="G10" s="362"/>
      <c r="H10" s="362"/>
      <c r="I10" s="362"/>
      <c r="J10" s="362"/>
      <c r="K10" s="363" t="s">
        <v>96</v>
      </c>
      <c r="L10" s="363"/>
      <c r="M10" s="363"/>
      <c r="N10" s="363"/>
      <c r="O10" s="363"/>
      <c r="Q10" s="34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9"/>
    </row>
    <row r="11" spans="2:39" ht="18" customHeight="1" x14ac:dyDescent="0.25">
      <c r="B11" s="361"/>
      <c r="C11" s="361"/>
      <c r="D11" s="364" t="s">
        <v>93</v>
      </c>
      <c r="E11" s="364"/>
      <c r="F11" s="364"/>
      <c r="G11" s="364" t="s">
        <v>95</v>
      </c>
      <c r="H11" s="364"/>
      <c r="I11" s="364"/>
      <c r="J11" s="364"/>
      <c r="K11" s="363"/>
      <c r="L11" s="363"/>
      <c r="M11" s="363"/>
      <c r="N11" s="363"/>
      <c r="O11" s="363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9"/>
      <c r="AB11" s="359"/>
      <c r="AC11" s="359"/>
      <c r="AD11" s="359"/>
      <c r="AE11" s="359"/>
      <c r="AF11" s="359"/>
      <c r="AG11" s="359"/>
      <c r="AH11" s="359"/>
      <c r="AI11" s="359"/>
      <c r="AJ11" s="359"/>
      <c r="AK11" s="359"/>
      <c r="AL11" s="35"/>
    </row>
    <row r="12" spans="2:39" ht="17.25" customHeight="1" x14ac:dyDescent="0.25">
      <c r="B12" s="361"/>
      <c r="C12" s="361"/>
      <c r="D12" s="364" t="s">
        <v>94</v>
      </c>
      <c r="E12" s="364"/>
      <c r="F12" s="364"/>
      <c r="G12" s="364" t="s">
        <v>94</v>
      </c>
      <c r="H12" s="364"/>
      <c r="I12" s="364"/>
      <c r="J12" s="364"/>
      <c r="K12" s="364" t="s">
        <v>97</v>
      </c>
      <c r="L12" s="365"/>
      <c r="M12" s="365"/>
      <c r="N12" s="365"/>
      <c r="O12" s="365"/>
      <c r="Q12" s="35"/>
      <c r="R12" s="359"/>
      <c r="S12" s="359"/>
      <c r="T12" s="35"/>
      <c r="U12" s="36"/>
      <c r="V12" s="36"/>
      <c r="W12" s="36"/>
      <c r="X12" s="35"/>
      <c r="Y12" s="35"/>
      <c r="Z12" s="35"/>
      <c r="AA12" s="37"/>
      <c r="AB12" s="35"/>
      <c r="AC12" s="35"/>
      <c r="AD12" s="35"/>
      <c r="AE12" s="35"/>
      <c r="AF12" s="35"/>
      <c r="AG12" s="360"/>
      <c r="AH12" s="360"/>
      <c r="AI12" s="360"/>
      <c r="AJ12" s="360"/>
      <c r="AK12" s="360"/>
      <c r="AL12" s="35"/>
      <c r="AM12" s="38"/>
    </row>
    <row r="13" spans="2:39" x14ac:dyDescent="0.25">
      <c r="B13" s="370" t="s">
        <v>98</v>
      </c>
      <c r="C13" s="370"/>
      <c r="D13" s="371">
        <v>8</v>
      </c>
      <c r="E13" s="371"/>
      <c r="F13" s="371"/>
      <c r="G13" s="371">
        <v>5</v>
      </c>
      <c r="H13" s="371"/>
      <c r="I13" s="371"/>
      <c r="J13" s="371"/>
      <c r="K13" s="372">
        <v>0.2</v>
      </c>
      <c r="L13" s="372"/>
      <c r="M13" s="372"/>
      <c r="N13" s="372"/>
      <c r="O13" s="372"/>
      <c r="Q13" s="35"/>
      <c r="R13" s="359"/>
      <c r="S13" s="359"/>
      <c r="T13" s="35"/>
      <c r="U13" s="36"/>
      <c r="V13" s="36"/>
      <c r="W13" s="36"/>
      <c r="X13" s="35"/>
      <c r="Y13" s="35"/>
      <c r="Z13" s="35"/>
      <c r="AA13" s="37"/>
      <c r="AB13" s="35"/>
      <c r="AC13" s="35"/>
      <c r="AD13" s="35"/>
      <c r="AE13" s="35"/>
      <c r="AF13" s="35"/>
      <c r="AG13" s="360"/>
      <c r="AH13" s="360"/>
      <c r="AI13" s="360"/>
      <c r="AJ13" s="360"/>
      <c r="AK13" s="360"/>
      <c r="AL13" s="35"/>
      <c r="AM13" s="38"/>
    </row>
    <row r="14" spans="2:39" x14ac:dyDescent="0.25">
      <c r="B14" s="370"/>
      <c r="C14" s="370"/>
      <c r="D14" s="371"/>
      <c r="E14" s="371"/>
      <c r="F14" s="371"/>
      <c r="G14" s="371"/>
      <c r="H14" s="371"/>
      <c r="I14" s="371"/>
      <c r="J14" s="371"/>
      <c r="K14" s="372"/>
      <c r="L14" s="372"/>
      <c r="M14" s="372"/>
      <c r="N14" s="372"/>
      <c r="O14" s="372"/>
      <c r="Q14" s="35"/>
      <c r="R14" s="359"/>
      <c r="S14" s="359"/>
      <c r="T14" s="35"/>
      <c r="U14" s="36"/>
      <c r="V14" s="36"/>
      <c r="W14" s="36"/>
      <c r="X14" s="35"/>
      <c r="Y14" s="35"/>
      <c r="Z14" s="35"/>
      <c r="AA14" s="37"/>
      <c r="AB14" s="35"/>
      <c r="AC14" s="35"/>
      <c r="AD14" s="35"/>
      <c r="AE14" s="35"/>
      <c r="AF14" s="35"/>
      <c r="AG14" s="360"/>
      <c r="AH14" s="360"/>
      <c r="AI14" s="360"/>
      <c r="AJ14" s="360"/>
      <c r="AK14" s="360"/>
      <c r="AL14" s="35"/>
      <c r="AM14" s="38"/>
    </row>
    <row r="15" spans="2:39" x14ac:dyDescent="0.25">
      <c r="B15" s="370" t="s">
        <v>99</v>
      </c>
      <c r="C15" s="370"/>
      <c r="D15" s="373">
        <v>10</v>
      </c>
      <c r="E15" s="373"/>
      <c r="F15" s="373"/>
      <c r="G15" s="371">
        <v>5</v>
      </c>
      <c r="H15" s="371"/>
      <c r="I15" s="371"/>
      <c r="J15" s="371"/>
      <c r="K15" s="372">
        <v>0.1</v>
      </c>
      <c r="L15" s="372"/>
      <c r="M15" s="372"/>
      <c r="N15" s="372"/>
      <c r="O15" s="372"/>
      <c r="Q15" s="35"/>
      <c r="R15" s="359"/>
      <c r="S15" s="359"/>
      <c r="T15" s="35"/>
      <c r="U15" s="36"/>
      <c r="V15" s="36"/>
      <c r="W15" s="36"/>
      <c r="X15" s="35"/>
      <c r="Y15" s="35"/>
      <c r="Z15" s="35"/>
      <c r="AA15" s="37"/>
      <c r="AB15" s="35"/>
      <c r="AC15" s="35"/>
      <c r="AD15" s="35"/>
      <c r="AE15" s="35"/>
      <c r="AF15" s="35"/>
      <c r="AG15" s="360"/>
      <c r="AH15" s="360"/>
      <c r="AI15" s="360"/>
      <c r="AJ15" s="360"/>
      <c r="AK15" s="360"/>
      <c r="AL15" s="35"/>
      <c r="AM15" s="38"/>
    </row>
    <row r="16" spans="2:39" x14ac:dyDescent="0.25">
      <c r="B16" s="370"/>
      <c r="C16" s="370"/>
      <c r="D16" s="373"/>
      <c r="E16" s="373"/>
      <c r="F16" s="373"/>
      <c r="G16" s="371"/>
      <c r="H16" s="371"/>
      <c r="I16" s="371"/>
      <c r="J16" s="371"/>
      <c r="K16" s="372"/>
      <c r="L16" s="372"/>
      <c r="M16" s="372"/>
      <c r="N16" s="372"/>
      <c r="O16" s="372"/>
      <c r="Q16" s="35"/>
      <c r="R16" s="359"/>
      <c r="S16" s="359"/>
      <c r="T16" s="35"/>
      <c r="U16" s="36"/>
      <c r="V16" s="36"/>
      <c r="W16" s="36"/>
      <c r="X16" s="35"/>
      <c r="Y16" s="35"/>
      <c r="Z16" s="35"/>
      <c r="AA16" s="37"/>
      <c r="AB16" s="35"/>
      <c r="AC16" s="35"/>
      <c r="AD16" s="35"/>
      <c r="AE16" s="35"/>
      <c r="AF16" s="35"/>
      <c r="AG16" s="360"/>
      <c r="AH16" s="360"/>
      <c r="AI16" s="360"/>
      <c r="AJ16" s="360"/>
      <c r="AK16" s="360"/>
      <c r="AL16" s="35"/>
      <c r="AM16" s="38"/>
    </row>
    <row r="17" spans="2:39" x14ac:dyDescent="0.25">
      <c r="Q17" s="35"/>
      <c r="R17" s="359"/>
      <c r="S17" s="359"/>
      <c r="T17" s="35"/>
      <c r="U17" s="36"/>
      <c r="V17" s="36"/>
      <c r="W17" s="36"/>
      <c r="X17" s="35"/>
      <c r="Y17" s="35"/>
      <c r="Z17" s="35"/>
      <c r="AA17" s="37"/>
      <c r="AB17" s="35"/>
      <c r="AC17" s="35"/>
      <c r="AD17" s="35"/>
      <c r="AE17" s="35"/>
      <c r="AF17" s="35"/>
      <c r="AG17" s="360"/>
      <c r="AH17" s="360"/>
      <c r="AI17" s="360"/>
      <c r="AJ17" s="360"/>
      <c r="AK17" s="360"/>
      <c r="AL17" s="35"/>
      <c r="AM17" s="38"/>
    </row>
    <row r="18" spans="2:39" x14ac:dyDescent="0.25">
      <c r="Q18" s="35"/>
      <c r="R18" s="359"/>
      <c r="S18" s="359"/>
      <c r="T18" s="35"/>
      <c r="U18" s="36"/>
      <c r="V18" s="36"/>
      <c r="W18" s="36"/>
      <c r="X18" s="35"/>
      <c r="Y18" s="35"/>
      <c r="Z18" s="35"/>
      <c r="AA18" s="37"/>
      <c r="AB18" s="35"/>
      <c r="AC18" s="35"/>
      <c r="AD18" s="35"/>
      <c r="AE18" s="35"/>
      <c r="AF18" s="35"/>
      <c r="AG18" s="360"/>
      <c r="AH18" s="360"/>
      <c r="AI18" s="360"/>
      <c r="AJ18" s="360"/>
      <c r="AK18" s="360"/>
      <c r="AL18" s="35"/>
      <c r="AM18" s="38"/>
    </row>
    <row r="19" spans="2:39" x14ac:dyDescent="0.25">
      <c r="Q19" s="35"/>
      <c r="R19" s="359"/>
      <c r="S19" s="359"/>
      <c r="T19" s="35"/>
      <c r="U19" s="36"/>
      <c r="V19" s="36"/>
      <c r="W19" s="36"/>
      <c r="X19" s="35"/>
      <c r="Y19" s="35"/>
      <c r="Z19" s="35"/>
      <c r="AA19" s="37"/>
      <c r="AB19" s="35"/>
      <c r="AC19" s="35"/>
      <c r="AD19" s="35"/>
      <c r="AE19" s="35"/>
      <c r="AF19" s="35"/>
      <c r="AG19" s="360"/>
      <c r="AH19" s="360"/>
      <c r="AI19" s="360"/>
      <c r="AJ19" s="360"/>
      <c r="AK19" s="360"/>
      <c r="AL19" s="35"/>
      <c r="AM19" s="38"/>
    </row>
    <row r="20" spans="2:39" ht="15.75" x14ac:dyDescent="0.25">
      <c r="B20" s="368" t="s">
        <v>104</v>
      </c>
      <c r="C20" s="368"/>
      <c r="D20" s="21"/>
      <c r="F20" s="22" t="s">
        <v>66</v>
      </c>
      <c r="G20" s="23"/>
      <c r="H20" s="366">
        <v>531068.38</v>
      </c>
      <c r="I20" s="366"/>
      <c r="L20" s="9"/>
      <c r="M20" s="9"/>
      <c r="O20" s="9"/>
      <c r="P20" s="31"/>
      <c r="Q20" s="35"/>
      <c r="R20" s="359"/>
      <c r="S20" s="359"/>
      <c r="T20" s="35"/>
      <c r="U20" s="36"/>
      <c r="V20" s="36"/>
      <c r="W20" s="36"/>
      <c r="X20" s="35"/>
      <c r="Y20" s="35"/>
      <c r="Z20" s="35"/>
      <c r="AA20" s="37"/>
      <c r="AB20" s="35"/>
      <c r="AC20" s="35"/>
      <c r="AD20" s="35"/>
      <c r="AE20" s="35"/>
      <c r="AF20" s="35"/>
      <c r="AG20" s="360"/>
      <c r="AH20" s="360"/>
      <c r="AI20" s="360"/>
      <c r="AJ20" s="360"/>
      <c r="AK20" s="360"/>
      <c r="AL20" s="35"/>
      <c r="AM20" s="38"/>
    </row>
    <row r="21" spans="2:39" x14ac:dyDescent="0.25">
      <c r="B21" s="369" t="s">
        <v>100</v>
      </c>
      <c r="C21" s="369"/>
      <c r="F21" s="22" t="s">
        <v>103</v>
      </c>
      <c r="G21" s="23"/>
      <c r="H21" s="366">
        <f>H20*K15</f>
        <v>53106.838000000003</v>
      </c>
      <c r="I21" s="366"/>
      <c r="L21" s="9"/>
      <c r="O21" s="9"/>
      <c r="P21" s="31"/>
      <c r="Q21" s="35"/>
      <c r="R21" s="359"/>
      <c r="S21" s="359"/>
      <c r="T21" s="35"/>
      <c r="U21" s="36"/>
      <c r="V21" s="36"/>
      <c r="W21" s="36"/>
      <c r="X21" s="35"/>
      <c r="Y21" s="35"/>
      <c r="Z21" s="35"/>
      <c r="AA21" s="37"/>
      <c r="AB21" s="35"/>
      <c r="AC21" s="35"/>
      <c r="AD21" s="35"/>
      <c r="AE21" s="35"/>
      <c r="AF21" s="35"/>
      <c r="AG21" s="360"/>
      <c r="AH21" s="360"/>
      <c r="AI21" s="360"/>
      <c r="AJ21" s="360"/>
      <c r="AK21" s="360"/>
      <c r="AL21" s="35"/>
      <c r="AM21" s="38"/>
    </row>
    <row r="22" spans="2:39" x14ac:dyDescent="0.25">
      <c r="F22" s="22" t="s">
        <v>101</v>
      </c>
      <c r="G22" s="23"/>
      <c r="H22" s="366">
        <f>(H20-H21)/D15</f>
        <v>47796.154200000004</v>
      </c>
      <c r="I22" s="366"/>
      <c r="O22" s="9"/>
      <c r="P22" s="31"/>
      <c r="Q22" s="35"/>
      <c r="R22" s="359"/>
      <c r="S22" s="359"/>
      <c r="T22" s="35"/>
      <c r="U22" s="36"/>
      <c r="V22" s="36"/>
      <c r="W22" s="36"/>
      <c r="X22" s="35"/>
      <c r="Y22" s="35"/>
      <c r="Z22" s="35"/>
      <c r="AA22" s="37"/>
      <c r="AB22" s="35"/>
      <c r="AC22" s="35"/>
      <c r="AD22" s="35"/>
      <c r="AE22" s="35"/>
      <c r="AF22" s="35"/>
      <c r="AG22" s="360"/>
      <c r="AH22" s="360"/>
      <c r="AI22" s="360"/>
      <c r="AJ22" s="360"/>
      <c r="AK22" s="360"/>
      <c r="AL22" s="35"/>
      <c r="AM22" s="38"/>
    </row>
    <row r="23" spans="2:39" x14ac:dyDescent="0.25">
      <c r="F23" s="22" t="s">
        <v>102</v>
      </c>
      <c r="G23" s="23"/>
      <c r="H23" s="366">
        <f>$H$22/12</f>
        <v>3983.0128500000005</v>
      </c>
      <c r="I23" s="367"/>
      <c r="O23" s="9"/>
      <c r="P23" s="31"/>
      <c r="Q23" s="35"/>
      <c r="R23" s="359"/>
      <c r="S23" s="359"/>
      <c r="T23" s="35"/>
      <c r="U23" s="36"/>
      <c r="V23" s="36"/>
      <c r="W23" s="36"/>
      <c r="X23" s="35"/>
      <c r="Y23" s="35"/>
      <c r="Z23" s="35"/>
      <c r="AA23" s="37"/>
      <c r="AB23" s="35"/>
      <c r="AC23" s="35"/>
      <c r="AD23" s="35"/>
      <c r="AE23" s="35"/>
      <c r="AF23" s="35"/>
      <c r="AG23" s="360"/>
      <c r="AH23" s="360"/>
      <c r="AI23" s="360"/>
      <c r="AJ23" s="360"/>
      <c r="AK23" s="360"/>
      <c r="AL23" s="35"/>
      <c r="AM23" s="38"/>
    </row>
    <row r="24" spans="2:39" x14ac:dyDescent="0.25">
      <c r="Q24" s="35"/>
      <c r="R24" s="359"/>
      <c r="S24" s="359"/>
      <c r="T24" s="35"/>
      <c r="U24" s="36"/>
      <c r="V24" s="36"/>
      <c r="W24" s="36"/>
      <c r="X24" s="35"/>
      <c r="Y24" s="35"/>
      <c r="Z24" s="35"/>
      <c r="AA24" s="37"/>
      <c r="AB24" s="35"/>
      <c r="AC24" s="35"/>
      <c r="AD24" s="35"/>
      <c r="AE24" s="35"/>
      <c r="AF24" s="35"/>
      <c r="AG24" s="360"/>
      <c r="AH24" s="360"/>
      <c r="AI24" s="360"/>
      <c r="AJ24" s="360"/>
      <c r="AK24" s="360"/>
      <c r="AL24" s="35"/>
      <c r="AM24" s="38"/>
    </row>
    <row r="25" spans="2:39" x14ac:dyDescent="0.25">
      <c r="Q25" s="35"/>
      <c r="R25" s="359"/>
      <c r="S25" s="359"/>
      <c r="T25" s="35"/>
      <c r="U25" s="36"/>
      <c r="V25" s="36"/>
      <c r="W25" s="36"/>
      <c r="X25" s="35"/>
      <c r="Y25" s="35"/>
      <c r="Z25" s="35"/>
      <c r="AA25" s="37"/>
      <c r="AB25" s="35"/>
      <c r="AC25" s="35"/>
      <c r="AD25" s="35"/>
      <c r="AE25" s="35"/>
      <c r="AF25" s="35"/>
      <c r="AG25" s="360"/>
      <c r="AH25" s="360"/>
      <c r="AI25" s="360"/>
      <c r="AJ25" s="360"/>
      <c r="AK25" s="360"/>
      <c r="AL25" s="35"/>
      <c r="AM25" s="38"/>
    </row>
    <row r="26" spans="2:39" x14ac:dyDescent="0.25">
      <c r="Q26" s="35"/>
      <c r="R26" s="359"/>
      <c r="S26" s="359"/>
      <c r="T26" s="35"/>
      <c r="U26" s="36"/>
      <c r="V26" s="36"/>
      <c r="W26" s="36"/>
      <c r="X26" s="35"/>
      <c r="Y26" s="35"/>
      <c r="Z26" s="35"/>
      <c r="AA26" s="37"/>
      <c r="AB26" s="35"/>
      <c r="AC26" s="35"/>
      <c r="AD26" s="35"/>
      <c r="AE26" s="35"/>
      <c r="AF26" s="35"/>
      <c r="AG26" s="360"/>
      <c r="AH26" s="360"/>
      <c r="AI26" s="360"/>
      <c r="AJ26" s="360"/>
      <c r="AK26" s="360"/>
      <c r="AL26" s="35"/>
      <c r="AM26" s="38"/>
    </row>
    <row r="27" spans="2:39" x14ac:dyDescent="0.25">
      <c r="Q27" s="35"/>
      <c r="R27" s="359"/>
      <c r="S27" s="359"/>
      <c r="T27" s="35"/>
      <c r="U27" s="36"/>
      <c r="V27" s="36"/>
      <c r="W27" s="35"/>
      <c r="X27" s="35"/>
      <c r="Y27" s="35"/>
      <c r="Z27" s="35"/>
      <c r="AA27" s="37"/>
      <c r="AB27" s="35"/>
      <c r="AC27" s="35"/>
      <c r="AD27" s="35"/>
      <c r="AE27" s="35"/>
      <c r="AF27" s="35"/>
      <c r="AG27" s="360"/>
      <c r="AH27" s="360"/>
      <c r="AI27" s="360"/>
      <c r="AJ27" s="360"/>
      <c r="AK27" s="360"/>
      <c r="AL27" s="35"/>
      <c r="AM27" s="38"/>
    </row>
  </sheetData>
  <mergeCells count="60">
    <mergeCell ref="D2:H2"/>
    <mergeCell ref="I4:M4"/>
    <mergeCell ref="H22:I22"/>
    <mergeCell ref="H23:I23"/>
    <mergeCell ref="B20:C20"/>
    <mergeCell ref="B21:C21"/>
    <mergeCell ref="H20:I20"/>
    <mergeCell ref="H21:I21"/>
    <mergeCell ref="B13:C14"/>
    <mergeCell ref="D13:F14"/>
    <mergeCell ref="G13:J14"/>
    <mergeCell ref="K13:O14"/>
    <mergeCell ref="B15:C16"/>
    <mergeCell ref="D15:F16"/>
    <mergeCell ref="G15:J16"/>
    <mergeCell ref="K15:O16"/>
    <mergeCell ref="B9:O9"/>
    <mergeCell ref="B10:C12"/>
    <mergeCell ref="D10:J10"/>
    <mergeCell ref="K10:O11"/>
    <mergeCell ref="D11:F11"/>
    <mergeCell ref="G11:J11"/>
    <mergeCell ref="D12:F12"/>
    <mergeCell ref="G12:J12"/>
    <mergeCell ref="K12:O12"/>
    <mergeCell ref="AA11:AK11"/>
    <mergeCell ref="R12:S12"/>
    <mergeCell ref="AG12:AK12"/>
    <mergeCell ref="R13:S13"/>
    <mergeCell ref="AG13:AK13"/>
    <mergeCell ref="R14:S14"/>
    <mergeCell ref="AG14:AK14"/>
    <mergeCell ref="R15:S15"/>
    <mergeCell ref="AG15:AK15"/>
    <mergeCell ref="R16:S16"/>
    <mergeCell ref="AG16:AK16"/>
    <mergeCell ref="R27:S27"/>
    <mergeCell ref="AG27:AK27"/>
    <mergeCell ref="R23:S23"/>
    <mergeCell ref="AG23:AK23"/>
    <mergeCell ref="R24:S24"/>
    <mergeCell ref="AG24:AK24"/>
    <mergeCell ref="R25:S25"/>
    <mergeCell ref="AG25:AK25"/>
    <mergeCell ref="D4:H4"/>
    <mergeCell ref="Q6:AM6"/>
    <mergeCell ref="R26:S26"/>
    <mergeCell ref="AG26:AK26"/>
    <mergeCell ref="R20:S20"/>
    <mergeCell ref="AG20:AK20"/>
    <mergeCell ref="R21:S21"/>
    <mergeCell ref="AG21:AK21"/>
    <mergeCell ref="R22:S22"/>
    <mergeCell ref="AG22:AK22"/>
    <mergeCell ref="R17:S17"/>
    <mergeCell ref="AG17:AK17"/>
    <mergeCell ref="R18:S18"/>
    <mergeCell ref="AG18:AK18"/>
    <mergeCell ref="R19:S19"/>
    <mergeCell ref="AG19:AK19"/>
  </mergeCells>
  <pageMargins left="0.511811024" right="0.511811024" top="0.78740157499999996" bottom="0.78740157499999996" header="0.31496062000000002" footer="0.31496062000000002"/>
  <pageSetup paperSize="9" scale="55" orientation="portrait" r:id="rId1"/>
  <drawing r:id="rId2"/>
  <legacyDrawing r:id="rId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30">
    <tabColor theme="5" tint="0.79998168889431442"/>
  </sheetPr>
  <dimension ref="A1:AB14"/>
  <sheetViews>
    <sheetView tabSelected="1" zoomScale="70" zoomScaleNormal="70" workbookViewId="0">
      <selection activeCell="A57" sqref="A57"/>
    </sheetView>
  </sheetViews>
  <sheetFormatPr defaultColWidth="9.140625" defaultRowHeight="15" x14ac:dyDescent="0.2"/>
  <cols>
    <col min="1" max="1" width="46.85546875" style="24" customWidth="1"/>
    <col min="2" max="2" width="14.42578125" style="24" customWidth="1"/>
    <col min="3" max="3" width="21.28515625" style="24" bestFit="1" customWidth="1"/>
    <col min="4" max="4" width="18.42578125" style="24" bestFit="1" customWidth="1"/>
    <col min="5" max="5" width="13.85546875" style="24" bestFit="1" customWidth="1"/>
    <col min="6" max="6" width="18.85546875" style="24" bestFit="1" customWidth="1"/>
    <col min="7" max="7" width="16.42578125" style="24" customWidth="1"/>
    <col min="8" max="8" width="18.42578125" style="24" bestFit="1" customWidth="1"/>
    <col min="9" max="9" width="18.85546875" style="24" bestFit="1" customWidth="1"/>
    <col min="10" max="10" width="10.42578125" style="24" customWidth="1"/>
    <col min="11" max="11" width="15" style="24" bestFit="1" customWidth="1"/>
    <col min="12" max="12" width="12.7109375" style="24" customWidth="1"/>
    <col min="13" max="13" width="13.42578125" style="24" bestFit="1" customWidth="1"/>
    <col min="14" max="16384" width="9.140625" style="24"/>
  </cols>
  <sheetData>
    <row r="1" spans="1:28" ht="15.75" x14ac:dyDescent="0.2">
      <c r="A1" s="79"/>
      <c r="B1" s="79"/>
      <c r="C1" s="74"/>
      <c r="D1" s="74"/>
      <c r="E1" s="74"/>
      <c r="F1" s="79"/>
      <c r="G1" s="79"/>
      <c r="H1" s="79"/>
      <c r="I1" s="74"/>
      <c r="J1" s="79"/>
      <c r="K1" s="79"/>
      <c r="L1" s="79"/>
      <c r="M1" s="74"/>
    </row>
    <row r="2" spans="1:28" ht="15.75" x14ac:dyDescent="0.2">
      <c r="A2" s="74"/>
      <c r="B2" s="75"/>
      <c r="C2" s="75"/>
      <c r="D2" s="75"/>
      <c r="E2" s="75"/>
      <c r="F2" s="75"/>
      <c r="G2" s="75"/>
      <c r="H2" s="76"/>
      <c r="I2" s="77"/>
      <c r="J2" s="76"/>
      <c r="K2" s="78"/>
      <c r="L2" s="75"/>
      <c r="M2" s="75"/>
    </row>
    <row r="3" spans="1:28" ht="78.75" x14ac:dyDescent="0.2">
      <c r="A3" s="82" t="s">
        <v>108</v>
      </c>
      <c r="B3" s="82" t="s">
        <v>158</v>
      </c>
      <c r="C3" s="83" t="s">
        <v>109</v>
      </c>
      <c r="D3" s="83" t="s">
        <v>110</v>
      </c>
      <c r="E3" s="82" t="s">
        <v>111</v>
      </c>
      <c r="F3" s="82" t="s">
        <v>159</v>
      </c>
      <c r="G3" s="83" t="s">
        <v>112</v>
      </c>
      <c r="H3" s="82" t="s">
        <v>113</v>
      </c>
      <c r="I3" s="82" t="s">
        <v>114</v>
      </c>
      <c r="J3" s="82" t="s">
        <v>115</v>
      </c>
      <c r="K3" s="83" t="s">
        <v>116</v>
      </c>
      <c r="L3" s="75"/>
      <c r="M3" s="75"/>
    </row>
    <row r="4" spans="1:28" s="27" customFormat="1" ht="63" x14ac:dyDescent="0.2">
      <c r="A4" s="84" t="s">
        <v>160</v>
      </c>
      <c r="B4" s="85"/>
      <c r="C4" s="85" t="s">
        <v>117</v>
      </c>
      <c r="D4" s="86" t="s">
        <v>161</v>
      </c>
      <c r="E4" s="85">
        <v>29</v>
      </c>
      <c r="F4" s="87"/>
      <c r="G4" s="86" t="s">
        <v>162</v>
      </c>
      <c r="H4" s="88"/>
      <c r="I4" s="89">
        <v>100000</v>
      </c>
      <c r="J4" s="85">
        <v>150</v>
      </c>
      <c r="K4" s="85" t="s">
        <v>118</v>
      </c>
      <c r="L4" s="75"/>
      <c r="M4" s="75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</row>
    <row r="5" spans="1:28" ht="63" x14ac:dyDescent="0.2">
      <c r="A5" s="84" t="s">
        <v>163</v>
      </c>
      <c r="B5" s="85"/>
      <c r="C5" s="85" t="s">
        <v>119</v>
      </c>
      <c r="D5" s="85" t="s">
        <v>164</v>
      </c>
      <c r="E5" s="85">
        <v>29</v>
      </c>
      <c r="F5" s="87"/>
      <c r="G5" s="86" t="s">
        <v>165</v>
      </c>
      <c r="H5" s="88"/>
      <c r="I5" s="89">
        <v>100000</v>
      </c>
      <c r="J5" s="85">
        <v>150</v>
      </c>
      <c r="K5" s="85" t="s">
        <v>118</v>
      </c>
      <c r="L5" s="75"/>
      <c r="M5" s="75"/>
    </row>
    <row r="6" spans="1:28" ht="63" x14ac:dyDescent="0.2">
      <c r="A6" s="84" t="s">
        <v>166</v>
      </c>
      <c r="B6" s="90"/>
      <c r="C6" s="85" t="s">
        <v>121</v>
      </c>
      <c r="D6" s="85" t="s">
        <v>167</v>
      </c>
      <c r="E6" s="85">
        <v>44</v>
      </c>
      <c r="F6" s="87"/>
      <c r="G6" s="86" t="s">
        <v>168</v>
      </c>
      <c r="H6" s="88"/>
      <c r="I6" s="89">
        <v>100000</v>
      </c>
      <c r="J6" s="85">
        <v>150</v>
      </c>
      <c r="K6" s="85" t="s">
        <v>169</v>
      </c>
      <c r="L6" s="75"/>
      <c r="M6" s="75"/>
    </row>
    <row r="7" spans="1:28" ht="63" x14ac:dyDescent="0.2">
      <c r="A7" s="84" t="s">
        <v>170</v>
      </c>
      <c r="B7" s="85"/>
      <c r="C7" s="85" t="s">
        <v>117</v>
      </c>
      <c r="D7" s="86" t="s">
        <v>171</v>
      </c>
      <c r="E7" s="85">
        <v>59</v>
      </c>
      <c r="F7" s="87"/>
      <c r="G7" s="86" t="s">
        <v>120</v>
      </c>
      <c r="H7" s="87"/>
      <c r="I7" s="89">
        <v>100000</v>
      </c>
      <c r="J7" s="85">
        <v>275</v>
      </c>
      <c r="K7" s="85" t="s">
        <v>169</v>
      </c>
      <c r="L7" s="75"/>
      <c r="M7" s="75"/>
    </row>
    <row r="9" spans="1:28" ht="15.75" x14ac:dyDescent="0.2">
      <c r="A9" s="374" t="s">
        <v>122</v>
      </c>
      <c r="B9" s="374"/>
      <c r="C9" s="374"/>
      <c r="D9" s="374"/>
      <c r="E9" s="374"/>
      <c r="F9" s="374"/>
      <c r="G9" s="374"/>
      <c r="H9" s="374"/>
      <c r="I9" s="374"/>
      <c r="J9" s="374"/>
      <c r="K9" s="374"/>
      <c r="L9" s="73"/>
      <c r="M9" s="73"/>
      <c r="N9" s="25"/>
    </row>
    <row r="10" spans="1:28" ht="15.75" x14ac:dyDescent="0.2">
      <c r="A10" s="375" t="s">
        <v>123</v>
      </c>
      <c r="B10" s="375"/>
      <c r="C10" s="375"/>
      <c r="D10" s="375"/>
      <c r="E10" s="375"/>
      <c r="F10" s="375"/>
      <c r="G10" s="375"/>
      <c r="H10" s="375"/>
      <c r="I10" s="375"/>
      <c r="J10" s="375"/>
      <c r="K10" s="375"/>
      <c r="L10" s="80"/>
      <c r="M10" s="80"/>
      <c r="N10" s="26"/>
    </row>
    <row r="11" spans="1:28" ht="15.75" x14ac:dyDescent="0.2">
      <c r="A11" s="375"/>
      <c r="B11" s="375"/>
      <c r="C11" s="375"/>
      <c r="D11" s="375"/>
      <c r="E11" s="375"/>
      <c r="F11" s="375"/>
      <c r="G11" s="375"/>
      <c r="H11" s="375"/>
      <c r="I11" s="375"/>
      <c r="J11" s="375"/>
      <c r="K11" s="375"/>
      <c r="L11" s="80"/>
      <c r="M11" s="80"/>
      <c r="N11" s="26"/>
    </row>
    <row r="12" spans="1:28" ht="15.75" x14ac:dyDescent="0.25">
      <c r="A12" s="92" t="s">
        <v>347</v>
      </c>
      <c r="B12" s="91"/>
      <c r="C12" s="91"/>
      <c r="D12" s="91"/>
      <c r="E12" s="91"/>
      <c r="F12" s="91"/>
      <c r="G12" s="91"/>
      <c r="H12" s="91"/>
      <c r="I12" s="91"/>
      <c r="J12" s="91"/>
      <c r="K12" s="91"/>
    </row>
    <row r="13" spans="1:28" ht="15.75" x14ac:dyDescent="0.25">
      <c r="A13" s="376" t="s">
        <v>348</v>
      </c>
      <c r="B13" s="376"/>
      <c r="C13" s="376"/>
      <c r="D13" s="376"/>
      <c r="E13" s="376"/>
      <c r="F13" s="376"/>
      <c r="G13" s="376"/>
      <c r="H13" s="376"/>
      <c r="I13" s="376"/>
      <c r="J13" s="376"/>
      <c r="K13" s="376"/>
      <c r="L13" s="81"/>
      <c r="M13" s="81"/>
    </row>
    <row r="14" spans="1:28" x14ac:dyDescent="0.2">
      <c r="A14" s="376"/>
      <c r="B14" s="376"/>
      <c r="C14" s="376"/>
      <c r="D14" s="376"/>
      <c r="E14" s="376"/>
      <c r="F14" s="376"/>
      <c r="G14" s="376"/>
      <c r="H14" s="376"/>
      <c r="I14" s="376"/>
      <c r="J14" s="376"/>
      <c r="K14" s="376"/>
    </row>
  </sheetData>
  <mergeCells count="3">
    <mergeCell ref="A9:K9"/>
    <mergeCell ref="A10:K11"/>
    <mergeCell ref="A13:K14"/>
  </mergeCells>
  <pageMargins left="0.511811024" right="0.511811024" top="0.78740157499999996" bottom="0.78740157499999996" header="0.31496062000000002" footer="0.31496062000000002"/>
  <pageSetup paperSize="9" scale="50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8"/>
  <sheetViews>
    <sheetView tabSelected="1" topLeftCell="A23" workbookViewId="0">
      <selection activeCell="A57" sqref="A57"/>
    </sheetView>
  </sheetViews>
  <sheetFormatPr defaultRowHeight="15" x14ac:dyDescent="0.25"/>
  <cols>
    <col min="1" max="1" width="54.7109375" bestFit="1" customWidth="1"/>
    <col min="2" max="2" width="14.28515625" style="135" bestFit="1" customWidth="1"/>
    <col min="3" max="4" width="7" bestFit="1" customWidth="1"/>
    <col min="10" max="10" width="10.42578125" customWidth="1"/>
  </cols>
  <sheetData>
    <row r="1" spans="1:4" x14ac:dyDescent="0.25">
      <c r="A1" s="163" t="s">
        <v>359</v>
      </c>
    </row>
    <row r="2" spans="1:4" x14ac:dyDescent="0.25">
      <c r="A2" s="163"/>
    </row>
    <row r="3" spans="1:4" x14ac:dyDescent="0.25">
      <c r="A3" s="180" t="s">
        <v>360</v>
      </c>
      <c r="B3" s="174">
        <v>46311</v>
      </c>
    </row>
    <row r="4" spans="1:4" ht="45" x14ac:dyDescent="0.25">
      <c r="A4" s="170" t="s">
        <v>170</v>
      </c>
      <c r="B4" s="171">
        <v>531068.38</v>
      </c>
    </row>
    <row r="5" spans="1:4" x14ac:dyDescent="0.25">
      <c r="A5" s="133" t="s">
        <v>322</v>
      </c>
      <c r="B5" s="171">
        <v>2453.2399999999998</v>
      </c>
    </row>
    <row r="6" spans="1:4" x14ac:dyDescent="0.25">
      <c r="A6" s="133" t="s">
        <v>323</v>
      </c>
      <c r="B6" s="171">
        <v>975.83</v>
      </c>
    </row>
    <row r="7" spans="1:4" x14ac:dyDescent="0.25">
      <c r="A7" s="133" t="s">
        <v>324</v>
      </c>
      <c r="B7" s="171">
        <v>7.6</v>
      </c>
    </row>
    <row r="8" spans="1:4" x14ac:dyDescent="0.25">
      <c r="A8" s="133" t="s">
        <v>325</v>
      </c>
      <c r="B8" s="171">
        <v>350.88</v>
      </c>
    </row>
    <row r="9" spans="1:4" x14ac:dyDescent="0.25">
      <c r="A9" s="133" t="s">
        <v>326</v>
      </c>
      <c r="B9" s="171">
        <v>2680.95</v>
      </c>
    </row>
    <row r="10" spans="1:4" x14ac:dyDescent="0.25">
      <c r="A10" s="133" t="s">
        <v>327</v>
      </c>
      <c r="B10" s="171">
        <v>932.23</v>
      </c>
    </row>
    <row r="11" spans="1:4" x14ac:dyDescent="0.25">
      <c r="A11" s="133" t="s">
        <v>328</v>
      </c>
      <c r="B11" s="175">
        <v>471.82</v>
      </c>
      <c r="C11" s="166" t="s">
        <v>349</v>
      </c>
      <c r="D11" s="166" t="s">
        <v>350</v>
      </c>
    </row>
    <row r="12" spans="1:4" ht="30" x14ac:dyDescent="0.25">
      <c r="A12" s="170" t="s">
        <v>361</v>
      </c>
      <c r="B12" s="177">
        <f>(C12*D12)*2</f>
        <v>14.372399999999997</v>
      </c>
      <c r="C12">
        <f>0.42*0.295</f>
        <v>0.12389999999999998</v>
      </c>
      <c r="D12" s="135">
        <v>58</v>
      </c>
    </row>
    <row r="13" spans="1:4" x14ac:dyDescent="0.25">
      <c r="A13" s="133" t="s">
        <v>329</v>
      </c>
      <c r="B13" s="171">
        <v>150.54</v>
      </c>
    </row>
    <row r="14" spans="1:4" x14ac:dyDescent="0.25">
      <c r="A14" s="133"/>
      <c r="B14" s="172"/>
    </row>
    <row r="15" spans="1:4" x14ac:dyDescent="0.25">
      <c r="A15" s="133" t="s">
        <v>330</v>
      </c>
      <c r="B15" s="173">
        <v>2.6599999999999999E-2</v>
      </c>
    </row>
    <row r="16" spans="1:4" x14ac:dyDescent="0.25">
      <c r="A16" s="133" t="s">
        <v>331</v>
      </c>
      <c r="B16" s="173">
        <v>0.04</v>
      </c>
    </row>
    <row r="17" spans="1:4" x14ac:dyDescent="0.25">
      <c r="A17" s="133"/>
      <c r="B17" s="172"/>
    </row>
    <row r="18" spans="1:4" x14ac:dyDescent="0.25">
      <c r="A18" s="133" t="s">
        <v>44</v>
      </c>
      <c r="B18" s="173">
        <v>0.05</v>
      </c>
    </row>
    <row r="19" spans="1:4" x14ac:dyDescent="0.25">
      <c r="A19" s="133" t="s">
        <v>335</v>
      </c>
      <c r="B19" s="173">
        <v>6.4999999999999997E-3</v>
      </c>
    </row>
    <row r="20" spans="1:4" x14ac:dyDescent="0.25">
      <c r="A20" s="133" t="s">
        <v>46</v>
      </c>
      <c r="B20" s="173">
        <v>0.03</v>
      </c>
    </row>
    <row r="22" spans="1:4" s="379" customFormat="1" x14ac:dyDescent="0.25">
      <c r="A22" s="380" t="s">
        <v>362</v>
      </c>
      <c r="B22" s="380"/>
      <c r="C22" s="380"/>
      <c r="D22" s="380"/>
    </row>
    <row r="23" spans="1:4" s="379" customFormat="1" x14ac:dyDescent="0.25">
      <c r="A23" s="381" t="s">
        <v>365</v>
      </c>
      <c r="B23" s="381"/>
      <c r="C23" s="381"/>
      <c r="D23" s="381"/>
    </row>
    <row r="24" spans="1:4" s="379" customFormat="1" x14ac:dyDescent="0.25">
      <c r="A24" s="381"/>
      <c r="B24" s="381"/>
      <c r="C24" s="381"/>
      <c r="D24" s="381"/>
    </row>
    <row r="25" spans="1:4" s="379" customFormat="1" x14ac:dyDescent="0.25">
      <c r="A25" s="384"/>
      <c r="B25" s="384"/>
      <c r="C25" s="384"/>
      <c r="D25" s="384"/>
    </row>
    <row r="26" spans="1:4" s="379" customFormat="1" x14ac:dyDescent="0.25">
      <c r="A26" s="382" t="s">
        <v>363</v>
      </c>
      <c r="B26" s="382"/>
      <c r="C26" s="382"/>
      <c r="D26" s="382"/>
    </row>
    <row r="27" spans="1:4" s="379" customFormat="1" x14ac:dyDescent="0.25">
      <c r="A27" s="381" t="s">
        <v>366</v>
      </c>
      <c r="B27" s="381"/>
      <c r="C27" s="381"/>
      <c r="D27" s="381"/>
    </row>
    <row r="28" spans="1:4" s="379" customFormat="1" x14ac:dyDescent="0.25">
      <c r="A28" s="381"/>
      <c r="B28" s="381"/>
      <c r="C28" s="381"/>
      <c r="D28" s="381"/>
    </row>
    <row r="29" spans="1:4" s="379" customFormat="1" x14ac:dyDescent="0.25">
      <c r="A29" s="383" t="s">
        <v>367</v>
      </c>
      <c r="B29" s="383"/>
      <c r="C29" s="383"/>
      <c r="D29" s="383"/>
    </row>
    <row r="30" spans="1:4" s="379" customFormat="1" x14ac:dyDescent="0.25">
      <c r="A30" s="383"/>
      <c r="B30" s="383"/>
      <c r="C30" s="383"/>
      <c r="D30" s="383"/>
    </row>
    <row r="31" spans="1:4" s="379" customFormat="1" x14ac:dyDescent="0.25">
      <c r="A31" s="383"/>
      <c r="B31" s="383"/>
      <c r="C31" s="383"/>
      <c r="D31" s="383"/>
    </row>
    <row r="32" spans="1:4" s="379" customFormat="1" x14ac:dyDescent="0.25">
      <c r="A32" s="383" t="s">
        <v>368</v>
      </c>
      <c r="B32" s="383"/>
      <c r="C32" s="383"/>
      <c r="D32" s="383"/>
    </row>
    <row r="33" spans="1:4" s="379" customFormat="1" x14ac:dyDescent="0.25">
      <c r="A33" s="383"/>
      <c r="B33" s="383"/>
      <c r="C33" s="383"/>
      <c r="D33" s="383"/>
    </row>
    <row r="34" spans="1:4" s="379" customFormat="1" x14ac:dyDescent="0.25">
      <c r="A34" s="383" t="s">
        <v>369</v>
      </c>
      <c r="B34" s="383"/>
      <c r="C34" s="383"/>
      <c r="D34" s="383"/>
    </row>
    <row r="35" spans="1:4" s="379" customFormat="1" x14ac:dyDescent="0.25">
      <c r="A35" s="383"/>
      <c r="B35" s="383"/>
      <c r="C35" s="383"/>
      <c r="D35" s="383"/>
    </row>
    <row r="36" spans="1:4" s="379" customFormat="1" x14ac:dyDescent="0.25">
      <c r="A36" s="385"/>
      <c r="B36" s="385"/>
      <c r="C36" s="385"/>
      <c r="D36" s="385"/>
    </row>
    <row r="37" spans="1:4" s="379" customFormat="1" x14ac:dyDescent="0.25">
      <c r="A37" s="382" t="s">
        <v>364</v>
      </c>
      <c r="B37" s="382"/>
      <c r="C37" s="382"/>
      <c r="D37" s="382"/>
    </row>
    <row r="38" spans="1:4" s="379" customFormat="1" x14ac:dyDescent="0.25">
      <c r="A38" s="381" t="s">
        <v>370</v>
      </c>
      <c r="B38" s="381"/>
      <c r="C38" s="381"/>
      <c r="D38" s="381"/>
    </row>
    <row r="39" spans="1:4" s="379" customFormat="1" x14ac:dyDescent="0.25">
      <c r="A39" s="381"/>
      <c r="B39" s="381"/>
      <c r="C39" s="381"/>
      <c r="D39" s="381"/>
    </row>
    <row r="40" spans="1:4" s="379" customFormat="1" x14ac:dyDescent="0.25">
      <c r="A40" s="381"/>
      <c r="B40" s="381"/>
      <c r="C40" s="381"/>
      <c r="D40" s="381"/>
    </row>
    <row r="41" spans="1:4" s="379" customFormat="1" x14ac:dyDescent="0.25">
      <c r="A41" s="383" t="s">
        <v>371</v>
      </c>
      <c r="B41" s="383"/>
      <c r="C41" s="383"/>
      <c r="D41" s="383"/>
    </row>
    <row r="42" spans="1:4" s="379" customFormat="1" x14ac:dyDescent="0.25">
      <c r="A42" s="383"/>
      <c r="B42" s="383"/>
      <c r="C42" s="383"/>
      <c r="D42" s="383"/>
    </row>
    <row r="43" spans="1:4" s="379" customFormat="1" x14ac:dyDescent="0.25">
      <c r="A43" s="383" t="s">
        <v>372</v>
      </c>
      <c r="B43" s="383"/>
      <c r="C43" s="383"/>
      <c r="D43" s="383"/>
    </row>
    <row r="44" spans="1:4" s="379" customFormat="1" x14ac:dyDescent="0.25">
      <c r="A44" s="383"/>
      <c r="B44" s="383"/>
      <c r="C44" s="383"/>
      <c r="D44" s="383"/>
    </row>
    <row r="45" spans="1:4" s="379" customFormat="1" x14ac:dyDescent="0.25">
      <c r="A45" s="383" t="s">
        <v>373</v>
      </c>
      <c r="B45" s="383"/>
      <c r="C45" s="383"/>
      <c r="D45" s="383"/>
    </row>
    <row r="46" spans="1:4" s="378" customFormat="1" x14ac:dyDescent="0.25">
      <c r="A46" s="383"/>
      <c r="B46" s="383"/>
      <c r="C46" s="383"/>
      <c r="D46" s="383"/>
    </row>
    <row r="47" spans="1:4" s="378" customFormat="1" x14ac:dyDescent="0.25">
      <c r="B47" s="135"/>
    </row>
    <row r="48" spans="1:4" s="378" customFormat="1" x14ac:dyDescent="0.25">
      <c r="B48" s="135"/>
    </row>
  </sheetData>
  <mergeCells count="12">
    <mergeCell ref="A32:D33"/>
    <mergeCell ref="A34:D35"/>
    <mergeCell ref="A38:D40"/>
    <mergeCell ref="A41:D42"/>
    <mergeCell ref="A43:D44"/>
    <mergeCell ref="A45:D46"/>
    <mergeCell ref="A26:D26"/>
    <mergeCell ref="A22:D22"/>
    <mergeCell ref="A23:D24"/>
    <mergeCell ref="A27:D28"/>
    <mergeCell ref="A29:D31"/>
    <mergeCell ref="A37:D37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35</vt:i4>
      </vt:variant>
      <vt:variant>
        <vt:lpstr>Intervalos nomeados</vt:lpstr>
      </vt:variant>
      <vt:variant>
        <vt:i4>31</vt:i4>
      </vt:variant>
    </vt:vector>
  </HeadingPairs>
  <TitlesOfParts>
    <vt:vector size="66" baseType="lpstr">
      <vt:lpstr>RESUMO</vt:lpstr>
      <vt:lpstr>188 SUL-DURAN-TANCREDO-MAT</vt:lpstr>
      <vt:lpstr>188 SUL-DURAN-MAT</vt:lpstr>
      <vt:lpstr>172 SUL-VERISSIMO-TANC-MAT-VESP</vt:lpstr>
      <vt:lpstr>172 SUL-VERISSIMO-MAT</vt:lpstr>
      <vt:lpstr>164 SUL-VERISSIMO MAT-VESP</vt:lpstr>
      <vt:lpstr>160 SUL VERISSIMO MAT</vt:lpstr>
      <vt:lpstr>168 NORTE-VERÍSSIMO-MAT-VESP</vt:lpstr>
      <vt:lpstr>168 SUL-VERÍSSIMO-MAT-VESP</vt:lpstr>
      <vt:lpstr>172 NORTE-VERISSIMO-MAT-VESP</vt:lpstr>
      <vt:lpstr>176 NORTE MAT-VESP</vt:lpstr>
      <vt:lpstr>176 SUL MAT-VESP</vt:lpstr>
      <vt:lpstr>180 NORTE-VERIS-CTPM-MAT-VESP</vt:lpstr>
      <vt:lpstr>180 SUL-VERIS-TANC-APF-MAT-VESP</vt:lpstr>
      <vt:lpstr>180 SUL-VERIS-MAT</vt:lpstr>
      <vt:lpstr>188 NORTE DURAN- ALUISIO- MATU</vt:lpstr>
      <vt:lpstr>192 NORTE - DURAN-ROSALES-MATUT</vt:lpstr>
      <vt:lpstr>192 SUL - DURAN -MATU</vt:lpstr>
      <vt:lpstr>196 SUL - DURAN - MATUTINO</vt:lpstr>
      <vt:lpstr>200 NORTE - DURAN - MATUTINO</vt:lpstr>
      <vt:lpstr>200 SUL - DURAN - MATUTINO</vt:lpstr>
      <vt:lpstr>204 NORTE - DURAN</vt:lpstr>
      <vt:lpstr>204 SUL - DURAN - MAT</vt:lpstr>
      <vt:lpstr>204 SUL - DURAN -ROSALES- MAT</vt:lpstr>
      <vt:lpstr>208 NORTE - ROSALES -MAT-VESP</vt:lpstr>
      <vt:lpstr>208 SUL - ROSALES - MAT-VESP</vt:lpstr>
      <vt:lpstr>TRAV DO CAFÉ-VERIS-CAND MAT-VES</vt:lpstr>
      <vt:lpstr>TRAV DO PEIXE-VERÍSSIMO - VESP</vt:lpstr>
      <vt:lpstr>196 NORTE DURAN - MATUTINO</vt:lpstr>
      <vt:lpstr>VERI 176 S RO 010  180-164 MAT</vt:lpstr>
      <vt:lpstr>Monitor de Transporte Escolar</vt:lpstr>
      <vt:lpstr>Motorista de Veiculo Pesado</vt:lpstr>
      <vt:lpstr>DEPRECIAÇÃO LINEAR</vt:lpstr>
      <vt:lpstr>TIPO DO ÔNIBUS</vt:lpstr>
      <vt:lpstr>Insumos</vt:lpstr>
      <vt:lpstr>'160 SUL VERISSIMO MAT'!Area_de_impressao</vt:lpstr>
      <vt:lpstr>'164 SUL-VERISSIMO MAT-VESP'!Area_de_impressao</vt:lpstr>
      <vt:lpstr>'168 NORTE-VERÍSSIMO-MAT-VESP'!Area_de_impressao</vt:lpstr>
      <vt:lpstr>'168 SUL-VERÍSSIMO-MAT-VESP'!Area_de_impressao</vt:lpstr>
      <vt:lpstr>'172 NORTE-VERISSIMO-MAT-VESP'!Area_de_impressao</vt:lpstr>
      <vt:lpstr>'172 SUL-VERISSIMO-MAT'!Area_de_impressao</vt:lpstr>
      <vt:lpstr>'172 SUL-VERISSIMO-TANC-MAT-VESP'!Area_de_impressao</vt:lpstr>
      <vt:lpstr>'176 NORTE MAT-VESP'!Area_de_impressao</vt:lpstr>
      <vt:lpstr>'176 SUL MAT-VESP'!Area_de_impressao</vt:lpstr>
      <vt:lpstr>'180 NORTE-VERIS-CTPM-MAT-VESP'!Area_de_impressao</vt:lpstr>
      <vt:lpstr>'180 SUL-VERIS-MAT'!Area_de_impressao</vt:lpstr>
      <vt:lpstr>'180 SUL-VERIS-TANC-APF-MAT-VESP'!Area_de_impressao</vt:lpstr>
      <vt:lpstr>'188 NORTE DURAN- ALUISIO- MATU'!Area_de_impressao</vt:lpstr>
      <vt:lpstr>'188 SUL-DURAN-MAT'!Area_de_impressao</vt:lpstr>
      <vt:lpstr>'188 SUL-DURAN-TANCREDO-MAT'!Area_de_impressao</vt:lpstr>
      <vt:lpstr>'192 NORTE - DURAN-ROSALES-MATUT'!Area_de_impressao</vt:lpstr>
      <vt:lpstr>'192 SUL - DURAN -MATU'!Area_de_impressao</vt:lpstr>
      <vt:lpstr>'196 NORTE DURAN - MATUTINO'!Area_de_impressao</vt:lpstr>
      <vt:lpstr>'196 SUL - DURAN - MATUTINO'!Area_de_impressao</vt:lpstr>
      <vt:lpstr>'200 NORTE - DURAN - MATUTINO'!Area_de_impressao</vt:lpstr>
      <vt:lpstr>'200 SUL - DURAN - MATUTINO'!Area_de_impressao</vt:lpstr>
      <vt:lpstr>'204 NORTE - DURAN'!Area_de_impressao</vt:lpstr>
      <vt:lpstr>'204 SUL - DURAN - MAT'!Area_de_impressao</vt:lpstr>
      <vt:lpstr>'204 SUL - DURAN -ROSALES- MAT'!Area_de_impressao</vt:lpstr>
      <vt:lpstr>'208 NORTE - ROSALES -MAT-VESP'!Area_de_impressao</vt:lpstr>
      <vt:lpstr>'208 SUL - ROSALES - MAT-VESP'!Area_de_impressao</vt:lpstr>
      <vt:lpstr>'Monitor de Transporte Escolar'!Area_de_impressao</vt:lpstr>
      <vt:lpstr>'Motorista de Veiculo Pesado'!Area_de_impressao</vt:lpstr>
      <vt:lpstr>'TRAV DO CAFÉ-VERIS-CAND MAT-VES'!Area_de_impressao</vt:lpstr>
      <vt:lpstr>'TRAV DO PEIXE-VERÍSSIMO - VESP'!Area_de_impressao</vt:lpstr>
      <vt:lpstr>'VERI 176 S RO 010  180-164 MAT'!Area_de_impressao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61697605249</dc:creator>
  <cp:lastModifiedBy>Tiago Luiz Jankoski Bampi</cp:lastModifiedBy>
  <cp:lastPrinted>2026-10-16T17:56:58Z</cp:lastPrinted>
  <dcterms:created xsi:type="dcterms:W3CDTF">2016-09-12T18:52:43Z</dcterms:created>
  <dcterms:modified xsi:type="dcterms:W3CDTF">2026-10-16T17:58:08Z</dcterms:modified>
</cp:coreProperties>
</file>