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showInkAnnotation="0" codeName="EstaPastaDeTrabalho"/>
  <mc:AlternateContent xmlns:mc="http://schemas.openxmlformats.org/markup-compatibility/2006">
    <mc:Choice Requires="x15">
      <x15ac:absPath xmlns:x15ac="http://schemas.microsoft.com/office/spreadsheetml/2010/11/ac" url="F:\GPO\Planejamento\ENGENHEIROS\Engº Luciano\ORÇAMENTOS EM ANDAMENTO\TR GUARDA-CORPOS GRADES-PISO E ESCADAS MARINHEIRO DA ETA\GUARDA-CORPO, GRADE PISO E ESCADAS MARINHEIRO\"/>
    </mc:Choice>
  </mc:AlternateContent>
  <xr:revisionPtr revIDLastSave="0" documentId="13_ncr:1_{E2AA6B46-BA4A-4F5E-9F34-32DE68D2AAE0}" xr6:coauthVersionLast="47" xr6:coauthVersionMax="47" xr10:uidLastSave="{00000000-0000-0000-0000-000000000000}"/>
  <bookViews>
    <workbookView xWindow="-28920" yWindow="-120" windowWidth="29040" windowHeight="15840" tabRatio="902" activeTab="1" xr2:uid="{00000000-000D-0000-FFFF-FFFF00000000}"/>
  </bookViews>
  <sheets>
    <sheet name="PREENCHIMENTO" sheetId="128" r:id="rId1"/>
    <sheet name="3.A" sheetId="82" r:id="rId2"/>
    <sheet name="4.A" sheetId="66" r:id="rId3"/>
    <sheet name="5.A" sheetId="81" r:id="rId4"/>
    <sheet name="6.A" sheetId="83" r:id="rId5"/>
    <sheet name="7.A" sheetId="127" r:id="rId6"/>
    <sheet name="8.A" sheetId="91" r:id="rId7"/>
  </sheets>
  <externalReferences>
    <externalReference r:id="rId8"/>
  </externalReferences>
  <definedNames>
    <definedName name="_xlnm._FilterDatabase" localSheetId="1" hidden="1">'3.A'!$A$9:$J$26</definedName>
    <definedName name="_xlnm._FilterDatabase" localSheetId="4" hidden="1">'6.A'!$A$15:$HK$21</definedName>
    <definedName name="_xlnm.Print_Area" localSheetId="1">'3.A'!$A$1:$J$63</definedName>
    <definedName name="_xlnm.Print_Area" localSheetId="2">'4.A'!$A$1:$M$41</definedName>
    <definedName name="_xlnm.Print_Area" localSheetId="3">'5.A'!$A$1:$F$322</definedName>
    <definedName name="_xlnm.Print_Area" localSheetId="4">'6.A'!$A$1:$F$24</definedName>
    <definedName name="_xlnm.Print_Area" localSheetId="5">'7.A'!$A$1:$E$43</definedName>
    <definedName name="_xlnm.Print_Area" localSheetId="6">'8.A'!$A$1:$C$57</definedName>
    <definedName name="_xlnm.Print_Area" localSheetId="0">PREENCHIMENTO!$A$1:$J$37</definedName>
    <definedName name="Database">#REF!</definedName>
    <definedName name="_xlnm.Print_Titles" localSheetId="1">'3.A'!$1:$15</definedName>
    <definedName name="_xlnm.Print_Titles" localSheetId="2">'4.A'!$1:$11</definedName>
    <definedName name="_xlnm.Print_Titles" localSheetId="3">'5.A'!$1:$10</definedName>
    <definedName name="_xlnm.Print_Titles" localSheetId="4">'6.A'!$1:$10</definedName>
    <definedName name="Z_6D07A3BF_0D13_4DB8_B57D_B992E436750A_.wvu.PrintArea" localSheetId="5" hidden="1">'7.A'!$A$1:$E$41</definedName>
  </definedNames>
  <calcPr calcId="181029"/>
</workbook>
</file>

<file path=xl/calcChain.xml><?xml version="1.0" encoding="utf-8"?>
<calcChain xmlns="http://schemas.openxmlformats.org/spreadsheetml/2006/main">
  <c r="A1" i="66" l="1"/>
  <c r="A1" i="81"/>
  <c r="A1" i="83"/>
  <c r="A1" i="127"/>
  <c r="A1" i="91"/>
  <c r="E12" i="81" l="1"/>
  <c r="G19" i="83" l="1"/>
  <c r="G18" i="83"/>
  <c r="G17" i="83"/>
  <c r="G16" i="83"/>
  <c r="G15" i="83"/>
  <c r="C14" i="81" l="1"/>
  <c r="B14" i="66"/>
  <c r="A14" i="66"/>
  <c r="N320" i="81"/>
  <c r="M320" i="81"/>
  <c r="H320" i="81"/>
  <c r="L320" i="81" s="1"/>
  <c r="N319" i="81"/>
  <c r="M319" i="81"/>
  <c r="H319" i="81"/>
  <c r="L319" i="81" s="1"/>
  <c r="N318" i="81"/>
  <c r="M318" i="81"/>
  <c r="H318" i="81"/>
  <c r="K318" i="81" s="1"/>
  <c r="N317" i="81"/>
  <c r="M317" i="81"/>
  <c r="H317" i="81"/>
  <c r="I317" i="81" s="1"/>
  <c r="N316" i="81"/>
  <c r="M316" i="81"/>
  <c r="H316" i="81"/>
  <c r="L316" i="81" s="1"/>
  <c r="N315" i="81"/>
  <c r="M315" i="81"/>
  <c r="H315" i="81"/>
  <c r="I315" i="81" s="1"/>
  <c r="N314" i="81"/>
  <c r="M314" i="81"/>
  <c r="H314" i="81"/>
  <c r="L314" i="81" s="1"/>
  <c r="N313" i="81"/>
  <c r="M313" i="81"/>
  <c r="H313" i="81"/>
  <c r="L313" i="81" s="1"/>
  <c r="N312" i="81"/>
  <c r="M312" i="81"/>
  <c r="H312" i="81"/>
  <c r="L312" i="81" s="1"/>
  <c r="N311" i="81"/>
  <c r="M311" i="81"/>
  <c r="H311" i="81"/>
  <c r="K311" i="81" s="1"/>
  <c r="N310" i="81"/>
  <c r="M310" i="81"/>
  <c r="H310" i="81"/>
  <c r="J310" i="81" s="1"/>
  <c r="N309" i="81"/>
  <c r="M309" i="81"/>
  <c r="H309" i="81"/>
  <c r="I309" i="81" s="1"/>
  <c r="N308" i="81"/>
  <c r="M308" i="81"/>
  <c r="H308" i="81"/>
  <c r="L308" i="81" s="1"/>
  <c r="N307" i="81"/>
  <c r="M307" i="81"/>
  <c r="H307" i="81"/>
  <c r="I307" i="81" s="1"/>
  <c r="N306" i="81"/>
  <c r="M306" i="81"/>
  <c r="H306" i="81"/>
  <c r="L306" i="81" s="1"/>
  <c r="N305" i="81"/>
  <c r="M305" i="81"/>
  <c r="H305" i="81"/>
  <c r="L305" i="81" s="1"/>
  <c r="N304" i="81"/>
  <c r="M304" i="81"/>
  <c r="H304" i="81"/>
  <c r="L304" i="81" s="1"/>
  <c r="N303" i="81"/>
  <c r="M303" i="81"/>
  <c r="H303" i="81"/>
  <c r="K303" i="81" s="1"/>
  <c r="N302" i="81"/>
  <c r="M302" i="81"/>
  <c r="H302" i="81"/>
  <c r="J302" i="81" s="1"/>
  <c r="N301" i="81"/>
  <c r="M301" i="81"/>
  <c r="H301" i="81"/>
  <c r="I301" i="81" s="1"/>
  <c r="N297" i="81"/>
  <c r="M297" i="81"/>
  <c r="H297" i="81"/>
  <c r="J297" i="81" s="1"/>
  <c r="N296" i="81"/>
  <c r="M296" i="81"/>
  <c r="H296" i="81"/>
  <c r="I296" i="81" s="1"/>
  <c r="N295" i="81"/>
  <c r="M295" i="81"/>
  <c r="H295" i="81"/>
  <c r="L295" i="81" s="1"/>
  <c r="N294" i="81"/>
  <c r="M294" i="81"/>
  <c r="H294" i="81"/>
  <c r="L294" i="81" s="1"/>
  <c r="N293" i="81"/>
  <c r="M293" i="81"/>
  <c r="H293" i="81"/>
  <c r="L293" i="81" s="1"/>
  <c r="N292" i="81"/>
  <c r="M292" i="81"/>
  <c r="H292" i="81"/>
  <c r="K292" i="81" s="1"/>
  <c r="N291" i="81"/>
  <c r="M291" i="81"/>
  <c r="H291" i="81"/>
  <c r="J291" i="81" s="1"/>
  <c r="N290" i="81"/>
  <c r="M290" i="81"/>
  <c r="H290" i="81"/>
  <c r="I290" i="81" s="1"/>
  <c r="N289" i="81"/>
  <c r="M289" i="81"/>
  <c r="H289" i="81"/>
  <c r="L289" i="81" s="1"/>
  <c r="N283" i="81"/>
  <c r="M283" i="81"/>
  <c r="H283" i="81"/>
  <c r="K283" i="81" s="1"/>
  <c r="N282" i="81"/>
  <c r="M282" i="81"/>
  <c r="H282" i="81"/>
  <c r="L282" i="81" s="1"/>
  <c r="N281" i="81"/>
  <c r="M281" i="81"/>
  <c r="H281" i="81"/>
  <c r="L281" i="81" s="1"/>
  <c r="N280" i="81"/>
  <c r="M280" i="81"/>
  <c r="H280" i="81"/>
  <c r="K280" i="81" s="1"/>
  <c r="N279" i="81"/>
  <c r="M279" i="81"/>
  <c r="H279" i="81"/>
  <c r="L279" i="81" s="1"/>
  <c r="N278" i="81"/>
  <c r="M278" i="81"/>
  <c r="H278" i="81"/>
  <c r="I278" i="81" s="1"/>
  <c r="N277" i="81"/>
  <c r="M277" i="81"/>
  <c r="H277" i="81"/>
  <c r="I277" i="81" s="1"/>
  <c r="N276" i="81"/>
  <c r="M276" i="81"/>
  <c r="H276" i="81"/>
  <c r="I276" i="81" s="1"/>
  <c r="N275" i="81"/>
  <c r="M275" i="81"/>
  <c r="H275" i="81"/>
  <c r="K275" i="81" s="1"/>
  <c r="N274" i="81"/>
  <c r="M274" i="81"/>
  <c r="H274" i="81"/>
  <c r="L274" i="81" s="1"/>
  <c r="N268" i="81"/>
  <c r="M268" i="81"/>
  <c r="H268" i="81"/>
  <c r="L268" i="81" s="1"/>
  <c r="N267" i="81"/>
  <c r="M267" i="81"/>
  <c r="H267" i="81"/>
  <c r="L267" i="81" s="1"/>
  <c r="N266" i="81"/>
  <c r="M266" i="81"/>
  <c r="H266" i="81"/>
  <c r="K266" i="81" s="1"/>
  <c r="N265" i="81"/>
  <c r="M265" i="81"/>
  <c r="H265" i="81"/>
  <c r="J265" i="81" s="1"/>
  <c r="N264" i="81"/>
  <c r="M264" i="81"/>
  <c r="H264" i="81"/>
  <c r="I264" i="81" s="1"/>
  <c r="N263" i="81"/>
  <c r="M263" i="81"/>
  <c r="H263" i="81"/>
  <c r="L263" i="81" s="1"/>
  <c r="N262" i="81"/>
  <c r="M262" i="81"/>
  <c r="H262" i="81"/>
  <c r="L262" i="81" s="1"/>
  <c r="N261" i="81"/>
  <c r="M261" i="81"/>
  <c r="H261" i="81"/>
  <c r="L261" i="81" s="1"/>
  <c r="N260" i="81"/>
  <c r="M260" i="81"/>
  <c r="H260" i="81"/>
  <c r="L260" i="81" s="1"/>
  <c r="N259" i="81"/>
  <c r="M259" i="81"/>
  <c r="H259" i="81"/>
  <c r="L259" i="81" s="1"/>
  <c r="N258" i="81"/>
  <c r="M258" i="81"/>
  <c r="H258" i="81"/>
  <c r="K258" i="81" s="1"/>
  <c r="N257" i="81"/>
  <c r="M257" i="81"/>
  <c r="H257" i="81"/>
  <c r="J257" i="81" s="1"/>
  <c r="N256" i="81"/>
  <c r="M256" i="81"/>
  <c r="H256" i="81"/>
  <c r="I256" i="81" s="1"/>
  <c r="N255" i="81"/>
  <c r="M255" i="81"/>
  <c r="H255" i="81"/>
  <c r="I255" i="81" s="1"/>
  <c r="N254" i="81"/>
  <c r="M254" i="81"/>
  <c r="H254" i="81"/>
  <c r="L254" i="81" s="1"/>
  <c r="N253" i="81"/>
  <c r="M253" i="81"/>
  <c r="H253" i="81"/>
  <c r="L253" i="81" s="1"/>
  <c r="N252" i="81"/>
  <c r="M252" i="81"/>
  <c r="H252" i="81"/>
  <c r="L252" i="81" s="1"/>
  <c r="N251" i="81"/>
  <c r="M251" i="81"/>
  <c r="H251" i="81"/>
  <c r="L251" i="81" s="1"/>
  <c r="N250" i="81"/>
  <c r="M250" i="81"/>
  <c r="H250" i="81"/>
  <c r="K250" i="81" s="1"/>
  <c r="N249" i="81"/>
  <c r="M249" i="81"/>
  <c r="H249" i="81"/>
  <c r="J249" i="81" s="1"/>
  <c r="N245" i="81"/>
  <c r="M245" i="81"/>
  <c r="H245" i="81"/>
  <c r="I245" i="81" s="1"/>
  <c r="N244" i="81"/>
  <c r="M244" i="81"/>
  <c r="H244" i="81"/>
  <c r="L244" i="81" s="1"/>
  <c r="N243" i="81"/>
  <c r="M243" i="81"/>
  <c r="H243" i="81"/>
  <c r="L243" i="81" s="1"/>
  <c r="N242" i="81"/>
  <c r="M242" i="81"/>
  <c r="H242" i="81"/>
  <c r="L242" i="81" s="1"/>
  <c r="N241" i="81"/>
  <c r="M241" i="81"/>
  <c r="H241" i="81"/>
  <c r="L241" i="81" s="1"/>
  <c r="N240" i="81"/>
  <c r="M240" i="81"/>
  <c r="H240" i="81"/>
  <c r="L240" i="81" s="1"/>
  <c r="N239" i="81"/>
  <c r="M239" i="81"/>
  <c r="H239" i="81"/>
  <c r="K239" i="81" s="1"/>
  <c r="N238" i="81"/>
  <c r="M238" i="81"/>
  <c r="H238" i="81"/>
  <c r="J238" i="81" s="1"/>
  <c r="N237" i="81"/>
  <c r="M237" i="81"/>
  <c r="H237" i="81"/>
  <c r="I237" i="81" s="1"/>
  <c r="N231" i="81"/>
  <c r="M231" i="81"/>
  <c r="H231" i="81"/>
  <c r="K231" i="81" s="1"/>
  <c r="N230" i="81"/>
  <c r="M230" i="81"/>
  <c r="H230" i="81"/>
  <c r="L230" i="81" s="1"/>
  <c r="N229" i="81"/>
  <c r="M229" i="81"/>
  <c r="H229" i="81"/>
  <c r="L229" i="81" s="1"/>
  <c r="N228" i="81"/>
  <c r="M228" i="81"/>
  <c r="H228" i="81"/>
  <c r="K228" i="81" s="1"/>
  <c r="N227" i="81"/>
  <c r="M227" i="81"/>
  <c r="H227" i="81"/>
  <c r="L227" i="81" s="1"/>
  <c r="N226" i="81"/>
  <c r="M226" i="81"/>
  <c r="H226" i="81"/>
  <c r="I226" i="81" s="1"/>
  <c r="N225" i="81"/>
  <c r="M225" i="81"/>
  <c r="H225" i="81"/>
  <c r="I225" i="81" s="1"/>
  <c r="N224" i="81"/>
  <c r="M224" i="81"/>
  <c r="H224" i="81"/>
  <c r="I224" i="81" s="1"/>
  <c r="N223" i="81"/>
  <c r="M223" i="81"/>
  <c r="H223" i="81"/>
  <c r="K223" i="81" s="1"/>
  <c r="N222" i="81"/>
  <c r="M222" i="81"/>
  <c r="H222" i="81"/>
  <c r="L222" i="81" s="1"/>
  <c r="N216" i="81"/>
  <c r="M216" i="81"/>
  <c r="H216" i="81"/>
  <c r="L216" i="81" s="1"/>
  <c r="N215" i="81"/>
  <c r="M215" i="81"/>
  <c r="H215" i="81"/>
  <c r="L215" i="81" s="1"/>
  <c r="N214" i="81"/>
  <c r="M214" i="81"/>
  <c r="H214" i="81"/>
  <c r="K214" i="81" s="1"/>
  <c r="N213" i="81"/>
  <c r="M213" i="81"/>
  <c r="H213" i="81"/>
  <c r="I213" i="81" s="1"/>
  <c r="N212" i="81"/>
  <c r="M212" i="81"/>
  <c r="H212" i="81"/>
  <c r="K212" i="81" s="1"/>
  <c r="N211" i="81"/>
  <c r="M211" i="81"/>
  <c r="H211" i="81"/>
  <c r="I211" i="81" s="1"/>
  <c r="N210" i="81"/>
  <c r="M210" i="81"/>
  <c r="H210" i="81"/>
  <c r="L210" i="81" s="1"/>
  <c r="N209" i="81"/>
  <c r="M209" i="81"/>
  <c r="H209" i="81"/>
  <c r="L209" i="81" s="1"/>
  <c r="N208" i="81"/>
  <c r="M208" i="81"/>
  <c r="H208" i="81"/>
  <c r="L208" i="81" s="1"/>
  <c r="N207" i="81"/>
  <c r="M207" i="81"/>
  <c r="H207" i="81"/>
  <c r="K207" i="81" s="1"/>
  <c r="N206" i="81"/>
  <c r="M206" i="81"/>
  <c r="H206" i="81"/>
  <c r="J206" i="81" s="1"/>
  <c r="N205" i="81"/>
  <c r="M205" i="81"/>
  <c r="H205" i="81"/>
  <c r="I205" i="81" s="1"/>
  <c r="N204" i="81"/>
  <c r="M204" i="81"/>
  <c r="H204" i="81"/>
  <c r="J204" i="81" s="1"/>
  <c r="N203" i="81"/>
  <c r="M203" i="81"/>
  <c r="H203" i="81"/>
  <c r="I203" i="81" s="1"/>
  <c r="N202" i="81"/>
  <c r="M202" i="81"/>
  <c r="H202" i="81"/>
  <c r="L202" i="81" s="1"/>
  <c r="N201" i="81"/>
  <c r="M201" i="81"/>
  <c r="H201" i="81"/>
  <c r="L201" i="81" s="1"/>
  <c r="N200" i="81"/>
  <c r="M200" i="81"/>
  <c r="H200" i="81"/>
  <c r="L200" i="81" s="1"/>
  <c r="N199" i="81"/>
  <c r="M199" i="81"/>
  <c r="H199" i="81"/>
  <c r="K199" i="81" s="1"/>
  <c r="N198" i="81"/>
  <c r="M198" i="81"/>
  <c r="H198" i="81"/>
  <c r="J198" i="81" s="1"/>
  <c r="N197" i="81"/>
  <c r="M197" i="81"/>
  <c r="H197" i="81"/>
  <c r="I197" i="81" s="1"/>
  <c r="N193" i="81"/>
  <c r="M193" i="81"/>
  <c r="H193" i="81"/>
  <c r="I193" i="81" s="1"/>
  <c r="N192" i="81"/>
  <c r="M192" i="81"/>
  <c r="H192" i="81"/>
  <c r="I192" i="81" s="1"/>
  <c r="N191" i="81"/>
  <c r="M191" i="81"/>
  <c r="H191" i="81"/>
  <c r="L191" i="81" s="1"/>
  <c r="N190" i="81"/>
  <c r="M190" i="81"/>
  <c r="H190" i="81"/>
  <c r="L190" i="81" s="1"/>
  <c r="N189" i="81"/>
  <c r="M189" i="81"/>
  <c r="H189" i="81"/>
  <c r="L189" i="81" s="1"/>
  <c r="N188" i="81"/>
  <c r="M188" i="81"/>
  <c r="H188" i="81"/>
  <c r="K188" i="81" s="1"/>
  <c r="N187" i="81"/>
  <c r="M187" i="81"/>
  <c r="H187" i="81"/>
  <c r="J187" i="81" s="1"/>
  <c r="N186" i="81"/>
  <c r="M186" i="81"/>
  <c r="H186" i="81"/>
  <c r="I186" i="81" s="1"/>
  <c r="N185" i="81"/>
  <c r="M185" i="81"/>
  <c r="H185" i="81"/>
  <c r="J185" i="81" s="1"/>
  <c r="N179" i="81"/>
  <c r="M179" i="81"/>
  <c r="H179" i="81"/>
  <c r="K179" i="81" s="1"/>
  <c r="N178" i="81"/>
  <c r="M178" i="81"/>
  <c r="H178" i="81"/>
  <c r="L178" i="81" s="1"/>
  <c r="N177" i="81"/>
  <c r="M177" i="81"/>
  <c r="H177" i="81"/>
  <c r="L177" i="81" s="1"/>
  <c r="N176" i="81"/>
  <c r="M176" i="81"/>
  <c r="H176" i="81"/>
  <c r="K176" i="81" s="1"/>
  <c r="N175" i="81"/>
  <c r="M175" i="81"/>
  <c r="H175" i="81"/>
  <c r="L175" i="81" s="1"/>
  <c r="N174" i="81"/>
  <c r="M174" i="81"/>
  <c r="H174" i="81"/>
  <c r="I174" i="81" s="1"/>
  <c r="N173" i="81"/>
  <c r="M173" i="81"/>
  <c r="H173" i="81"/>
  <c r="J173" i="81" s="1"/>
  <c r="N172" i="81"/>
  <c r="M172" i="81"/>
  <c r="H172" i="81"/>
  <c r="I172" i="81" s="1"/>
  <c r="N171" i="81"/>
  <c r="M171" i="81"/>
  <c r="H171" i="81"/>
  <c r="K171" i="81" s="1"/>
  <c r="N170" i="81"/>
  <c r="M170" i="81"/>
  <c r="H170" i="81"/>
  <c r="L170" i="81" s="1"/>
  <c r="N164" i="81"/>
  <c r="M164" i="81"/>
  <c r="H164" i="81"/>
  <c r="L164" i="81" s="1"/>
  <c r="N163" i="81"/>
  <c r="M163" i="81"/>
  <c r="H163" i="81"/>
  <c r="L163" i="81" s="1"/>
  <c r="N162" i="81"/>
  <c r="M162" i="81"/>
  <c r="H162" i="81"/>
  <c r="L162" i="81" s="1"/>
  <c r="N161" i="81"/>
  <c r="M161" i="81"/>
  <c r="H161" i="81"/>
  <c r="K161" i="81" s="1"/>
  <c r="N160" i="81"/>
  <c r="M160" i="81"/>
  <c r="H160" i="81"/>
  <c r="J160" i="81" s="1"/>
  <c r="N159" i="81"/>
  <c r="M159" i="81"/>
  <c r="H159" i="81"/>
  <c r="I159" i="81" s="1"/>
  <c r="N158" i="81"/>
  <c r="M158" i="81"/>
  <c r="H158" i="81"/>
  <c r="K158" i="81" s="1"/>
  <c r="N157" i="81"/>
  <c r="M157" i="81"/>
  <c r="H157" i="81"/>
  <c r="L157" i="81" s="1"/>
  <c r="N156" i="81"/>
  <c r="M156" i="81"/>
  <c r="H156" i="81"/>
  <c r="L156" i="81" s="1"/>
  <c r="N155" i="81"/>
  <c r="M155" i="81"/>
  <c r="H155" i="81"/>
  <c r="L155" i="81" s="1"/>
  <c r="N154" i="81"/>
  <c r="M154" i="81"/>
  <c r="H154" i="81"/>
  <c r="L154" i="81" s="1"/>
  <c r="N153" i="81"/>
  <c r="M153" i="81"/>
  <c r="H153" i="81"/>
  <c r="K153" i="81" s="1"/>
  <c r="N152" i="81"/>
  <c r="M152" i="81"/>
  <c r="H152" i="81"/>
  <c r="J152" i="81" s="1"/>
  <c r="N151" i="81"/>
  <c r="M151" i="81"/>
  <c r="H151" i="81"/>
  <c r="I151" i="81" s="1"/>
  <c r="N150" i="81"/>
  <c r="M150" i="81"/>
  <c r="H150" i="81"/>
  <c r="K150" i="81" s="1"/>
  <c r="N149" i="81"/>
  <c r="M149" i="81"/>
  <c r="H149" i="81"/>
  <c r="L149" i="81" s="1"/>
  <c r="N148" i="81"/>
  <c r="M148" i="81"/>
  <c r="H148" i="81"/>
  <c r="L148" i="81" s="1"/>
  <c r="N147" i="81"/>
  <c r="M147" i="81"/>
  <c r="H147" i="81"/>
  <c r="L147" i="81" s="1"/>
  <c r="N146" i="81"/>
  <c r="M146" i="81"/>
  <c r="H146" i="81"/>
  <c r="L146" i="81" s="1"/>
  <c r="N145" i="81"/>
  <c r="M145" i="81"/>
  <c r="H145" i="81"/>
  <c r="K145" i="81" s="1"/>
  <c r="N141" i="81"/>
  <c r="M141" i="81"/>
  <c r="H141" i="81"/>
  <c r="J141" i="81" s="1"/>
  <c r="N140" i="81"/>
  <c r="M140" i="81"/>
  <c r="H140" i="81"/>
  <c r="I140" i="81" s="1"/>
  <c r="N139" i="81"/>
  <c r="M139" i="81"/>
  <c r="H139" i="81"/>
  <c r="J139" i="81" s="1"/>
  <c r="N138" i="81"/>
  <c r="M138" i="81"/>
  <c r="H138" i="81"/>
  <c r="L138" i="81" s="1"/>
  <c r="N137" i="81"/>
  <c r="M137" i="81"/>
  <c r="H137" i="81"/>
  <c r="L137" i="81" s="1"/>
  <c r="N136" i="81"/>
  <c r="M136" i="81"/>
  <c r="H136" i="81"/>
  <c r="L136" i="81" s="1"/>
  <c r="N135" i="81"/>
  <c r="M135" i="81"/>
  <c r="H135" i="81"/>
  <c r="L135" i="81" s="1"/>
  <c r="N134" i="81"/>
  <c r="M134" i="81"/>
  <c r="H134" i="81"/>
  <c r="K134" i="81" s="1"/>
  <c r="N133" i="81"/>
  <c r="M133" i="81"/>
  <c r="H133" i="81"/>
  <c r="J133" i="81" s="1"/>
  <c r="N127" i="81"/>
  <c r="M127" i="81"/>
  <c r="H127" i="81"/>
  <c r="L127" i="81" s="1"/>
  <c r="N126" i="81"/>
  <c r="M126" i="81"/>
  <c r="H126" i="81"/>
  <c r="L126" i="81" s="1"/>
  <c r="N125" i="81"/>
  <c r="M125" i="81"/>
  <c r="H125" i="81"/>
  <c r="L125" i="81" s="1"/>
  <c r="N124" i="81"/>
  <c r="M124" i="81"/>
  <c r="H124" i="81"/>
  <c r="K124" i="81" s="1"/>
  <c r="N123" i="81"/>
  <c r="M123" i="81"/>
  <c r="H123" i="81"/>
  <c r="L123" i="81" s="1"/>
  <c r="N122" i="81"/>
  <c r="M122" i="81"/>
  <c r="H122" i="81"/>
  <c r="K122" i="81" s="1"/>
  <c r="N121" i="81"/>
  <c r="M121" i="81"/>
  <c r="H121" i="81"/>
  <c r="J121" i="81" s="1"/>
  <c r="N120" i="81"/>
  <c r="M120" i="81"/>
  <c r="H120" i="81"/>
  <c r="I120" i="81" s="1"/>
  <c r="N119" i="81"/>
  <c r="M119" i="81"/>
  <c r="H119" i="81"/>
  <c r="L119" i="81" s="1"/>
  <c r="N118" i="81"/>
  <c r="M118" i="81"/>
  <c r="H118" i="81"/>
  <c r="L118" i="81" s="1"/>
  <c r="N112" i="81"/>
  <c r="M112" i="81"/>
  <c r="H112" i="81"/>
  <c r="L112" i="81" s="1"/>
  <c r="N111" i="81"/>
  <c r="M111" i="81"/>
  <c r="H111" i="81"/>
  <c r="K111" i="81" s="1"/>
  <c r="N110" i="81"/>
  <c r="M110" i="81"/>
  <c r="H110" i="81"/>
  <c r="J110" i="81" s="1"/>
  <c r="N109" i="81"/>
  <c r="M109" i="81"/>
  <c r="H109" i="81"/>
  <c r="I109" i="81" s="1"/>
  <c r="N108" i="81"/>
  <c r="M108" i="81"/>
  <c r="H108" i="81"/>
  <c r="L108" i="81" s="1"/>
  <c r="N107" i="81"/>
  <c r="M107" i="81"/>
  <c r="H107" i="81"/>
  <c r="I107" i="81" s="1"/>
  <c r="N106" i="81"/>
  <c r="M106" i="81"/>
  <c r="H106" i="81"/>
  <c r="L106" i="81" s="1"/>
  <c r="N105" i="81"/>
  <c r="M105" i="81"/>
  <c r="H105" i="81"/>
  <c r="L105" i="81" s="1"/>
  <c r="N104" i="81"/>
  <c r="M104" i="81"/>
  <c r="H104" i="81"/>
  <c r="L104" i="81" s="1"/>
  <c r="N103" i="81"/>
  <c r="M103" i="81"/>
  <c r="H103" i="81"/>
  <c r="K103" i="81" s="1"/>
  <c r="N102" i="81"/>
  <c r="M102" i="81"/>
  <c r="H102" i="81"/>
  <c r="J102" i="81" s="1"/>
  <c r="N101" i="81"/>
  <c r="M101" i="81"/>
  <c r="H101" i="81"/>
  <c r="I101" i="81" s="1"/>
  <c r="N100" i="81"/>
  <c r="M100" i="81"/>
  <c r="H100" i="81"/>
  <c r="J100" i="81" s="1"/>
  <c r="N99" i="81"/>
  <c r="M99" i="81"/>
  <c r="H99" i="81"/>
  <c r="I99" i="81" s="1"/>
  <c r="N98" i="81"/>
  <c r="M98" i="81"/>
  <c r="H98" i="81"/>
  <c r="L98" i="81" s="1"/>
  <c r="N97" i="81"/>
  <c r="M97" i="81"/>
  <c r="H97" i="81"/>
  <c r="L97" i="81" s="1"/>
  <c r="N96" i="81"/>
  <c r="M96" i="81"/>
  <c r="H96" i="81"/>
  <c r="L96" i="81" s="1"/>
  <c r="N95" i="81"/>
  <c r="M95" i="81"/>
  <c r="H95" i="81"/>
  <c r="K95" i="81" s="1"/>
  <c r="N94" i="81"/>
  <c r="M94" i="81"/>
  <c r="H94" i="81"/>
  <c r="J94" i="81" s="1"/>
  <c r="N93" i="81"/>
  <c r="M93" i="81"/>
  <c r="H93" i="81"/>
  <c r="I93" i="81" s="1"/>
  <c r="N89" i="81"/>
  <c r="M89" i="81"/>
  <c r="H89" i="81"/>
  <c r="J89" i="81" s="1"/>
  <c r="N88" i="81"/>
  <c r="M88" i="81"/>
  <c r="H88" i="81"/>
  <c r="I88" i="81" s="1"/>
  <c r="N87" i="81"/>
  <c r="M87" i="81"/>
  <c r="H87" i="81"/>
  <c r="L87" i="81" s="1"/>
  <c r="N86" i="81"/>
  <c r="M86" i="81"/>
  <c r="H86" i="81"/>
  <c r="L86" i="81" s="1"/>
  <c r="N85" i="81"/>
  <c r="M85" i="81"/>
  <c r="H85" i="81"/>
  <c r="L85" i="81" s="1"/>
  <c r="N84" i="81"/>
  <c r="M84" i="81"/>
  <c r="H84" i="81"/>
  <c r="K84" i="81" s="1"/>
  <c r="N83" i="81"/>
  <c r="M83" i="81"/>
  <c r="H83" i="81"/>
  <c r="J83" i="81" s="1"/>
  <c r="N82" i="81"/>
  <c r="M82" i="81"/>
  <c r="H82" i="81"/>
  <c r="I82" i="81" s="1"/>
  <c r="N81" i="81"/>
  <c r="M81" i="81"/>
  <c r="H81" i="81"/>
  <c r="L81" i="81" s="1"/>
  <c r="N75" i="81"/>
  <c r="M75" i="81"/>
  <c r="H75" i="81"/>
  <c r="K75" i="81" s="1"/>
  <c r="N74" i="81"/>
  <c r="M74" i="81"/>
  <c r="H74" i="81"/>
  <c r="L74" i="81" s="1"/>
  <c r="N73" i="81"/>
  <c r="M73" i="81"/>
  <c r="H73" i="81"/>
  <c r="L73" i="81" s="1"/>
  <c r="N72" i="81"/>
  <c r="M72" i="81"/>
  <c r="H72" i="81"/>
  <c r="K72" i="81" s="1"/>
  <c r="N71" i="81"/>
  <c r="M71" i="81"/>
  <c r="H71" i="81"/>
  <c r="L71" i="81" s="1"/>
  <c r="N70" i="81"/>
  <c r="M70" i="81"/>
  <c r="H70" i="81"/>
  <c r="I70" i="81" s="1"/>
  <c r="N69" i="81"/>
  <c r="M69" i="81"/>
  <c r="H69" i="81"/>
  <c r="L69" i="81" s="1"/>
  <c r="N68" i="81"/>
  <c r="M68" i="81"/>
  <c r="H68" i="81"/>
  <c r="I68" i="81" s="1"/>
  <c r="N67" i="81"/>
  <c r="M67" i="81"/>
  <c r="H67" i="81"/>
  <c r="K67" i="81" s="1"/>
  <c r="N66" i="81"/>
  <c r="M66" i="81"/>
  <c r="H66" i="81"/>
  <c r="L66" i="81" s="1"/>
  <c r="N60" i="81"/>
  <c r="M60" i="81"/>
  <c r="H60" i="81"/>
  <c r="L60" i="81" s="1"/>
  <c r="N59" i="81"/>
  <c r="M59" i="81"/>
  <c r="H59" i="81"/>
  <c r="L59" i="81" s="1"/>
  <c r="N58" i="81"/>
  <c r="M58" i="81"/>
  <c r="H58" i="81"/>
  <c r="J58" i="81" s="1"/>
  <c r="N57" i="81"/>
  <c r="M57" i="81"/>
  <c r="H57" i="81"/>
  <c r="I57" i="81" s="1"/>
  <c r="N56" i="81"/>
  <c r="M56" i="81"/>
  <c r="H56" i="81"/>
  <c r="K56" i="81" s="1"/>
  <c r="N55" i="81"/>
  <c r="M55" i="81"/>
  <c r="H55" i="81"/>
  <c r="I55" i="81" s="1"/>
  <c r="N54" i="81"/>
  <c r="M54" i="81"/>
  <c r="H54" i="81"/>
  <c r="L54" i="81" s="1"/>
  <c r="N53" i="81"/>
  <c r="M53" i="81"/>
  <c r="H53" i="81"/>
  <c r="I53" i="81" s="1"/>
  <c r="N52" i="81"/>
  <c r="M52" i="81"/>
  <c r="H52" i="81"/>
  <c r="L52" i="81" s="1"/>
  <c r="N51" i="81"/>
  <c r="M51" i="81"/>
  <c r="H51" i="81"/>
  <c r="K51" i="81" s="1"/>
  <c r="N50" i="81"/>
  <c r="M50" i="81"/>
  <c r="H50" i="81"/>
  <c r="J50" i="81" s="1"/>
  <c r="N49" i="81"/>
  <c r="M49" i="81"/>
  <c r="H49" i="81"/>
  <c r="I49" i="81" s="1"/>
  <c r="N48" i="81"/>
  <c r="M48" i="81"/>
  <c r="H48" i="81"/>
  <c r="J48" i="81" s="1"/>
  <c r="N47" i="81"/>
  <c r="M47" i="81"/>
  <c r="H47" i="81"/>
  <c r="I47" i="81" s="1"/>
  <c r="N46" i="81"/>
  <c r="M46" i="81"/>
  <c r="H46" i="81"/>
  <c r="L46" i="81" s="1"/>
  <c r="N45" i="81"/>
  <c r="M45" i="81"/>
  <c r="H45" i="81"/>
  <c r="I45" i="81" s="1"/>
  <c r="N44" i="81"/>
  <c r="M44" i="81"/>
  <c r="H44" i="81"/>
  <c r="L44" i="81" s="1"/>
  <c r="N43" i="81"/>
  <c r="M43" i="81"/>
  <c r="H43" i="81"/>
  <c r="K43" i="81" s="1"/>
  <c r="N42" i="81"/>
  <c r="M42" i="81"/>
  <c r="H42" i="81"/>
  <c r="J42" i="81" s="1"/>
  <c r="N41" i="81"/>
  <c r="M41" i="81"/>
  <c r="H41" i="81"/>
  <c r="I41" i="81" s="1"/>
  <c r="N37" i="81"/>
  <c r="M37" i="81"/>
  <c r="H37" i="81"/>
  <c r="L37" i="81" s="1"/>
  <c r="N36" i="81"/>
  <c r="M36" i="81"/>
  <c r="H36" i="81"/>
  <c r="L36" i="81" s="1"/>
  <c r="N35" i="81"/>
  <c r="M35" i="81"/>
  <c r="H35" i="81"/>
  <c r="L35" i="81" s="1"/>
  <c r="N34" i="81"/>
  <c r="M34" i="81"/>
  <c r="H34" i="81"/>
  <c r="J34" i="81" s="1"/>
  <c r="N33" i="81"/>
  <c r="M33" i="81"/>
  <c r="H33" i="81"/>
  <c r="J33" i="81" s="1"/>
  <c r="N32" i="81"/>
  <c r="M32" i="81"/>
  <c r="H32" i="81"/>
  <c r="K32" i="81" s="1"/>
  <c r="N31" i="81"/>
  <c r="M31" i="81"/>
  <c r="H31" i="81"/>
  <c r="K31" i="81" s="1"/>
  <c r="N30" i="81"/>
  <c r="M30" i="81"/>
  <c r="H30" i="81"/>
  <c r="L30" i="81" s="1"/>
  <c r="N29" i="81"/>
  <c r="M29" i="81"/>
  <c r="H29" i="81"/>
  <c r="L29" i="81" s="1"/>
  <c r="N23" i="81"/>
  <c r="M23" i="81"/>
  <c r="H23" i="81"/>
  <c r="L23" i="81" s="1"/>
  <c r="N22" i="81"/>
  <c r="M22" i="81"/>
  <c r="H22" i="81"/>
  <c r="L22" i="81" s="1"/>
  <c r="N21" i="81"/>
  <c r="M21" i="81"/>
  <c r="H21" i="81"/>
  <c r="J21" i="81" s="1"/>
  <c r="N20" i="81"/>
  <c r="M20" i="81"/>
  <c r="H20" i="81"/>
  <c r="K20" i="81" s="1"/>
  <c r="N19" i="81"/>
  <c r="M19" i="81"/>
  <c r="H19" i="81"/>
  <c r="L19" i="81" s="1"/>
  <c r="N18" i="81"/>
  <c r="M18" i="81"/>
  <c r="H18" i="81"/>
  <c r="I18" i="81" s="1"/>
  <c r="N17" i="81"/>
  <c r="M17" i="81"/>
  <c r="H17" i="81"/>
  <c r="K17" i="81" s="1"/>
  <c r="N16" i="81"/>
  <c r="M16" i="81"/>
  <c r="H16" i="81"/>
  <c r="L16" i="81" s="1"/>
  <c r="N15" i="81"/>
  <c r="M15" i="81"/>
  <c r="H15" i="81"/>
  <c r="L15" i="81" s="1"/>
  <c r="E28" i="81"/>
  <c r="F28" i="81" s="1"/>
  <c r="D28" i="81"/>
  <c r="B28" i="81"/>
  <c r="A28" i="81"/>
  <c r="M28" i="81" s="1"/>
  <c r="N28" i="81" s="1"/>
  <c r="G20" i="83"/>
  <c r="D14" i="81"/>
  <c r="B14" i="81"/>
  <c r="A14" i="81"/>
  <c r="M14" i="81" s="1"/>
  <c r="B12" i="81"/>
  <c r="A12" i="81"/>
  <c r="F60" i="81"/>
  <c r="F59" i="81"/>
  <c r="F58" i="81"/>
  <c r="F57" i="81"/>
  <c r="F56" i="81"/>
  <c r="F55" i="81"/>
  <c r="F54" i="81"/>
  <c r="F53" i="81"/>
  <c r="F52" i="81"/>
  <c r="F51" i="81"/>
  <c r="F50" i="81"/>
  <c r="F49" i="81"/>
  <c r="F48" i="81"/>
  <c r="F47" i="81"/>
  <c r="F46" i="81"/>
  <c r="F45" i="81"/>
  <c r="F44" i="81"/>
  <c r="F43" i="81"/>
  <c r="F42" i="81"/>
  <c r="F41" i="81"/>
  <c r="F37" i="81"/>
  <c r="F36" i="81"/>
  <c r="F35" i="81"/>
  <c r="F34" i="81"/>
  <c r="F33" i="81"/>
  <c r="F32" i="81"/>
  <c r="F31" i="81"/>
  <c r="F30" i="81"/>
  <c r="F29" i="81"/>
  <c r="F23" i="81"/>
  <c r="F22" i="81"/>
  <c r="F21" i="81"/>
  <c r="F20" i="81"/>
  <c r="F19" i="81"/>
  <c r="F18" i="81"/>
  <c r="F17" i="81"/>
  <c r="F16" i="81"/>
  <c r="F15" i="81"/>
  <c r="B48" i="82"/>
  <c r="A48" i="82"/>
  <c r="B50" i="82"/>
  <c r="A50" i="82"/>
  <c r="H28" i="81" l="1"/>
  <c r="N14" i="81"/>
  <c r="L187" i="81"/>
  <c r="K48" i="81"/>
  <c r="I179" i="81"/>
  <c r="I121" i="81"/>
  <c r="K121" i="81"/>
  <c r="L121" i="81"/>
  <c r="K187" i="81"/>
  <c r="K159" i="81"/>
  <c r="K297" i="81"/>
  <c r="L159" i="81"/>
  <c r="L255" i="81"/>
  <c r="L48" i="81"/>
  <c r="J32" i="81"/>
  <c r="L158" i="81"/>
  <c r="L20" i="81"/>
  <c r="K41" i="81"/>
  <c r="J46" i="81"/>
  <c r="I119" i="81"/>
  <c r="K230" i="81"/>
  <c r="I242" i="81"/>
  <c r="L277" i="81"/>
  <c r="J31" i="81"/>
  <c r="L94" i="81"/>
  <c r="L186" i="81"/>
  <c r="I201" i="81"/>
  <c r="L256" i="81"/>
  <c r="I280" i="81"/>
  <c r="I316" i="81"/>
  <c r="I32" i="81"/>
  <c r="L199" i="81"/>
  <c r="K278" i="81"/>
  <c r="L31" i="81"/>
  <c r="L33" i="81"/>
  <c r="L82" i="81"/>
  <c r="K94" i="81"/>
  <c r="L101" i="81"/>
  <c r="L111" i="81"/>
  <c r="K186" i="81"/>
  <c r="I190" i="81"/>
  <c r="L275" i="81"/>
  <c r="J277" i="81"/>
  <c r="K277" i="81"/>
  <c r="I75" i="81"/>
  <c r="I127" i="81"/>
  <c r="I178" i="81"/>
  <c r="I81" i="81"/>
  <c r="K55" i="81"/>
  <c r="L55" i="81"/>
  <c r="K127" i="81"/>
  <c r="L150" i="81"/>
  <c r="K193" i="81"/>
  <c r="J205" i="81"/>
  <c r="I210" i="81"/>
  <c r="I212" i="81"/>
  <c r="I223" i="81"/>
  <c r="K265" i="81"/>
  <c r="J309" i="81"/>
  <c r="I314" i="81"/>
  <c r="J316" i="81"/>
  <c r="J75" i="81"/>
  <c r="J81" i="81"/>
  <c r="K93" i="81"/>
  <c r="I31" i="81"/>
  <c r="I48" i="81"/>
  <c r="L75" i="81"/>
  <c r="K81" i="81"/>
  <c r="L83" i="81"/>
  <c r="J88" i="81"/>
  <c r="L93" i="81"/>
  <c r="I158" i="81"/>
  <c r="L171" i="81"/>
  <c r="I185" i="81"/>
  <c r="J191" i="81"/>
  <c r="L258" i="81"/>
  <c r="K316" i="81"/>
  <c r="I17" i="81"/>
  <c r="J101" i="81"/>
  <c r="L103" i="81"/>
  <c r="J197" i="81"/>
  <c r="L204" i="81"/>
  <c r="J211" i="81"/>
  <c r="K222" i="81"/>
  <c r="K224" i="81"/>
  <c r="J264" i="81"/>
  <c r="I275" i="81"/>
  <c r="L278" i="81"/>
  <c r="L280" i="81"/>
  <c r="L297" i="81"/>
  <c r="J18" i="81"/>
  <c r="J49" i="81"/>
  <c r="K33" i="81"/>
  <c r="L50" i="81"/>
  <c r="J67" i="81"/>
  <c r="K89" i="81"/>
  <c r="L140" i="81"/>
  <c r="I150" i="81"/>
  <c r="L160" i="81"/>
  <c r="I171" i="81"/>
  <c r="L179" i="81"/>
  <c r="K185" i="81"/>
  <c r="I204" i="81"/>
  <c r="L205" i="81"/>
  <c r="L207" i="81"/>
  <c r="K225" i="81"/>
  <c r="J243" i="81"/>
  <c r="L245" i="81"/>
  <c r="J255" i="81"/>
  <c r="I297" i="81"/>
  <c r="L301" i="81"/>
  <c r="L310" i="81"/>
  <c r="K19" i="81"/>
  <c r="L18" i="81"/>
  <c r="I108" i="81"/>
  <c r="L67" i="81"/>
  <c r="I74" i="81"/>
  <c r="K83" i="81"/>
  <c r="L89" i="81"/>
  <c r="K102" i="81"/>
  <c r="J150" i="81"/>
  <c r="J171" i="81"/>
  <c r="L185" i="81"/>
  <c r="I191" i="81"/>
  <c r="J193" i="81"/>
  <c r="K204" i="81"/>
  <c r="I222" i="81"/>
  <c r="K255" i="81"/>
  <c r="J278" i="81"/>
  <c r="I295" i="81"/>
  <c r="L53" i="81"/>
  <c r="I66" i="81"/>
  <c r="J262" i="81"/>
  <c r="K291" i="81"/>
  <c r="I19" i="81"/>
  <c r="I36" i="81"/>
  <c r="J70" i="81"/>
  <c r="J19" i="81"/>
  <c r="K34" i="81"/>
  <c r="L56" i="81"/>
  <c r="L70" i="81"/>
  <c r="K82" i="81"/>
  <c r="K101" i="81"/>
  <c r="J119" i="81"/>
  <c r="L134" i="81"/>
  <c r="L141" i="81"/>
  <c r="I149" i="81"/>
  <c r="J158" i="81"/>
  <c r="I170" i="81"/>
  <c r="J174" i="81"/>
  <c r="J203" i="81"/>
  <c r="K206" i="81"/>
  <c r="J212" i="81"/>
  <c r="J226" i="81"/>
  <c r="L228" i="81"/>
  <c r="K249" i="81"/>
  <c r="L291" i="81"/>
  <c r="K302" i="81"/>
  <c r="J307" i="81"/>
  <c r="L311" i="81"/>
  <c r="K317" i="81"/>
  <c r="K119" i="81"/>
  <c r="L174" i="81"/>
  <c r="L212" i="81"/>
  <c r="L226" i="81"/>
  <c r="L249" i="81"/>
  <c r="L317" i="81"/>
  <c r="L47" i="81"/>
  <c r="I89" i="81"/>
  <c r="K100" i="81"/>
  <c r="K110" i="81"/>
  <c r="L58" i="81"/>
  <c r="I118" i="81"/>
  <c r="K18" i="81"/>
  <c r="I33" i="81"/>
  <c r="I67" i="81"/>
  <c r="L100" i="81"/>
  <c r="J106" i="81"/>
  <c r="K108" i="81"/>
  <c r="L110" i="81"/>
  <c r="K118" i="81"/>
  <c r="J140" i="81"/>
  <c r="K160" i="81"/>
  <c r="J179" i="81"/>
  <c r="L197" i="81"/>
  <c r="K205" i="81"/>
  <c r="K211" i="81"/>
  <c r="J223" i="81"/>
  <c r="J225" i="81"/>
  <c r="I243" i="81"/>
  <c r="J245" i="81"/>
  <c r="I261" i="81"/>
  <c r="J281" i="81"/>
  <c r="J290" i="81"/>
  <c r="K301" i="81"/>
  <c r="K310" i="81"/>
  <c r="J17" i="81"/>
  <c r="K49" i="81"/>
  <c r="J57" i="81"/>
  <c r="L17" i="81"/>
  <c r="L41" i="81"/>
  <c r="L49" i="81"/>
  <c r="L57" i="81"/>
  <c r="I69" i="81"/>
  <c r="K70" i="81"/>
  <c r="I72" i="81"/>
  <c r="I84" i="81"/>
  <c r="I86" i="81"/>
  <c r="I95" i="81"/>
  <c r="I97" i="81"/>
  <c r="K99" i="81"/>
  <c r="J109" i="81"/>
  <c r="I139" i="81"/>
  <c r="K140" i="81"/>
  <c r="K152" i="81"/>
  <c r="L161" i="81"/>
  <c r="I173" i="81"/>
  <c r="K174" i="81"/>
  <c r="I176" i="81"/>
  <c r="L188" i="81"/>
  <c r="J192" i="81"/>
  <c r="L193" i="81"/>
  <c r="K203" i="81"/>
  <c r="L214" i="81"/>
  <c r="L225" i="81"/>
  <c r="K238" i="81"/>
  <c r="I244" i="81"/>
  <c r="K245" i="81"/>
  <c r="I254" i="81"/>
  <c r="L265" i="81"/>
  <c r="L303" i="81"/>
  <c r="L42" i="81"/>
  <c r="J69" i="81"/>
  <c r="L238" i="81"/>
  <c r="J254" i="81"/>
  <c r="I42" i="81"/>
  <c r="J54" i="81"/>
  <c r="I56" i="81"/>
  <c r="L32" i="81"/>
  <c r="L43" i="81"/>
  <c r="L51" i="81"/>
  <c r="K66" i="81"/>
  <c r="K69" i="81"/>
  <c r="L72" i="81"/>
  <c r="K74" i="81"/>
  <c r="K88" i="81"/>
  <c r="L102" i="81"/>
  <c r="J108" i="81"/>
  <c r="L109" i="81"/>
  <c r="K120" i="81"/>
  <c r="J127" i="81"/>
  <c r="K133" i="81"/>
  <c r="K139" i="81"/>
  <c r="L145" i="81"/>
  <c r="J151" i="81"/>
  <c r="I157" i="81"/>
  <c r="K170" i="81"/>
  <c r="K173" i="81"/>
  <c r="L176" i="81"/>
  <c r="K178" i="81"/>
  <c r="K198" i="81"/>
  <c r="I202" i="81"/>
  <c r="L206" i="81"/>
  <c r="J210" i="81"/>
  <c r="J213" i="81"/>
  <c r="I231" i="81"/>
  <c r="J237" i="81"/>
  <c r="K244" i="81"/>
  <c r="L250" i="81"/>
  <c r="K257" i="81"/>
  <c r="I263" i="81"/>
  <c r="K264" i="81"/>
  <c r="J276" i="81"/>
  <c r="I283" i="81"/>
  <c r="I289" i="81"/>
  <c r="K290" i="81"/>
  <c r="J296" i="81"/>
  <c r="I306" i="81"/>
  <c r="I308" i="81"/>
  <c r="K309" i="81"/>
  <c r="J315" i="81"/>
  <c r="K57" i="81"/>
  <c r="J72" i="81"/>
  <c r="L95" i="81"/>
  <c r="K192" i="81"/>
  <c r="J244" i="81"/>
  <c r="K42" i="81"/>
  <c r="J56" i="81"/>
  <c r="L133" i="81"/>
  <c r="L139" i="81"/>
  <c r="K151" i="81"/>
  <c r="L173" i="81"/>
  <c r="L198" i="81"/>
  <c r="J202" i="81"/>
  <c r="K213" i="81"/>
  <c r="J231" i="81"/>
  <c r="K237" i="81"/>
  <c r="L257" i="81"/>
  <c r="J263" i="81"/>
  <c r="L264" i="81"/>
  <c r="L283" i="81"/>
  <c r="J289" i="81"/>
  <c r="L290" i="81"/>
  <c r="J308" i="81"/>
  <c r="L309" i="81"/>
  <c r="L318" i="81"/>
  <c r="K109" i="81"/>
  <c r="L152" i="81"/>
  <c r="J176" i="81"/>
  <c r="K50" i="81"/>
  <c r="L21" i="81"/>
  <c r="L34" i="81"/>
  <c r="L45" i="81"/>
  <c r="K68" i="81"/>
  <c r="I87" i="81"/>
  <c r="J98" i="81"/>
  <c r="I100" i="81"/>
  <c r="J122" i="81"/>
  <c r="I124" i="81"/>
  <c r="I126" i="81"/>
  <c r="I138" i="81"/>
  <c r="L151" i="81"/>
  <c r="K172" i="81"/>
  <c r="L213" i="81"/>
  <c r="L231" i="81"/>
  <c r="L237" i="81"/>
  <c r="I253" i="81"/>
  <c r="J256" i="81"/>
  <c r="K263" i="81"/>
  <c r="L266" i="81"/>
  <c r="K289" i="81"/>
  <c r="L292" i="81"/>
  <c r="L302" i="81"/>
  <c r="K308" i="81"/>
  <c r="L84" i="81"/>
  <c r="K21" i="81"/>
  <c r="J41" i="81"/>
  <c r="K47" i="81"/>
  <c r="K58" i="81"/>
  <c r="J82" i="81"/>
  <c r="J87" i="81"/>
  <c r="J93" i="81"/>
  <c r="I105" i="81"/>
  <c r="K107" i="81"/>
  <c r="L122" i="81"/>
  <c r="L124" i="81"/>
  <c r="K126" i="81"/>
  <c r="K141" i="81"/>
  <c r="L153" i="81"/>
  <c r="J159" i="81"/>
  <c r="J186" i="81"/>
  <c r="K197" i="81"/>
  <c r="I209" i="81"/>
  <c r="L223" i="81"/>
  <c r="K226" i="81"/>
  <c r="I228" i="81"/>
  <c r="I230" i="81"/>
  <c r="L239" i="81"/>
  <c r="K256" i="81"/>
  <c r="I262" i="81"/>
  <c r="J301" i="81"/>
  <c r="J317" i="81"/>
  <c r="G12" i="81"/>
  <c r="O12" i="81"/>
  <c r="P12" i="81" s="1"/>
  <c r="I274" i="81"/>
  <c r="J275" i="81"/>
  <c r="K276" i="81"/>
  <c r="I282" i="81"/>
  <c r="J283" i="81"/>
  <c r="I294" i="81"/>
  <c r="J295" i="81"/>
  <c r="K296" i="81"/>
  <c r="I305" i="81"/>
  <c r="J306" i="81"/>
  <c r="K307" i="81"/>
  <c r="I313" i="81"/>
  <c r="J314" i="81"/>
  <c r="K315" i="81"/>
  <c r="J274" i="81"/>
  <c r="L276" i="81"/>
  <c r="I281" i="81"/>
  <c r="J282" i="81"/>
  <c r="I293" i="81"/>
  <c r="J294" i="81"/>
  <c r="K295" i="81"/>
  <c r="L296" i="81"/>
  <c r="I304" i="81"/>
  <c r="J305" i="81"/>
  <c r="K306" i="81"/>
  <c r="L307" i="81"/>
  <c r="I312" i="81"/>
  <c r="J313" i="81"/>
  <c r="K314" i="81"/>
  <c r="L315" i="81"/>
  <c r="I320" i="81"/>
  <c r="K274" i="81"/>
  <c r="K282" i="81"/>
  <c r="I292" i="81"/>
  <c r="J293" i="81"/>
  <c r="K294" i="81"/>
  <c r="I303" i="81"/>
  <c r="J304" i="81"/>
  <c r="K305" i="81"/>
  <c r="I311" i="81"/>
  <c r="J312" i="81"/>
  <c r="K313" i="81"/>
  <c r="I319" i="81"/>
  <c r="J320" i="81"/>
  <c r="I279" i="81"/>
  <c r="J280" i="81"/>
  <c r="K281" i="81"/>
  <c r="I291" i="81"/>
  <c r="J292" i="81"/>
  <c r="K293" i="81"/>
  <c r="I302" i="81"/>
  <c r="J303" i="81"/>
  <c r="K304" i="81"/>
  <c r="I310" i="81"/>
  <c r="J311" i="81"/>
  <c r="K312" i="81"/>
  <c r="I318" i="81"/>
  <c r="J319" i="81"/>
  <c r="K320" i="81"/>
  <c r="J279" i="81"/>
  <c r="J318" i="81"/>
  <c r="K319" i="81"/>
  <c r="K279" i="81"/>
  <c r="J224" i="81"/>
  <c r="J222" i="81"/>
  <c r="L224" i="81"/>
  <c r="I229" i="81"/>
  <c r="J230" i="81"/>
  <c r="I241" i="81"/>
  <c r="J242" i="81"/>
  <c r="K243" i="81"/>
  <c r="I252" i="81"/>
  <c r="J253" i="81"/>
  <c r="K254" i="81"/>
  <c r="I260" i="81"/>
  <c r="J261" i="81"/>
  <c r="K262" i="81"/>
  <c r="I268" i="81"/>
  <c r="J229" i="81"/>
  <c r="I240" i="81"/>
  <c r="J241" i="81"/>
  <c r="K242" i="81"/>
  <c r="I251" i="81"/>
  <c r="J252" i="81"/>
  <c r="K253" i="81"/>
  <c r="I259" i="81"/>
  <c r="J260" i="81"/>
  <c r="K261" i="81"/>
  <c r="I267" i="81"/>
  <c r="J268" i="81"/>
  <c r="I227" i="81"/>
  <c r="J228" i="81"/>
  <c r="K229" i="81"/>
  <c r="I239" i="81"/>
  <c r="J240" i="81"/>
  <c r="K241" i="81"/>
  <c r="I250" i="81"/>
  <c r="J251" i="81"/>
  <c r="K252" i="81"/>
  <c r="I258" i="81"/>
  <c r="J259" i="81"/>
  <c r="K260" i="81"/>
  <c r="I266" i="81"/>
  <c r="J267" i="81"/>
  <c r="K268" i="81"/>
  <c r="J227" i="81"/>
  <c r="I238" i="81"/>
  <c r="J239" i="81"/>
  <c r="K240" i="81"/>
  <c r="I249" i="81"/>
  <c r="J250" i="81"/>
  <c r="K251" i="81"/>
  <c r="I257" i="81"/>
  <c r="J258" i="81"/>
  <c r="K259" i="81"/>
  <c r="I265" i="81"/>
  <c r="J266" i="81"/>
  <c r="K267" i="81"/>
  <c r="K227" i="81"/>
  <c r="J172" i="81"/>
  <c r="J170" i="81"/>
  <c r="L172" i="81"/>
  <c r="I177" i="81"/>
  <c r="J178" i="81"/>
  <c r="I189" i="81"/>
  <c r="J190" i="81"/>
  <c r="K191" i="81"/>
  <c r="L192" i="81"/>
  <c r="I200" i="81"/>
  <c r="J201" i="81"/>
  <c r="K202" i="81"/>
  <c r="L203" i="81"/>
  <c r="I208" i="81"/>
  <c r="J209" i="81"/>
  <c r="K210" i="81"/>
  <c r="L211" i="81"/>
  <c r="I216" i="81"/>
  <c r="J177" i="81"/>
  <c r="I188" i="81"/>
  <c r="J189" i="81"/>
  <c r="K190" i="81"/>
  <c r="I199" i="81"/>
  <c r="J200" i="81"/>
  <c r="K201" i="81"/>
  <c r="I207" i="81"/>
  <c r="J208" i="81"/>
  <c r="K209" i="81"/>
  <c r="I215" i="81"/>
  <c r="J216" i="81"/>
  <c r="I175" i="81"/>
  <c r="K177" i="81"/>
  <c r="I187" i="81"/>
  <c r="J188" i="81"/>
  <c r="K189" i="81"/>
  <c r="I198" i="81"/>
  <c r="J199" i="81"/>
  <c r="K200" i="81"/>
  <c r="I206" i="81"/>
  <c r="J207" i="81"/>
  <c r="K208" i="81"/>
  <c r="I214" i="81"/>
  <c r="J215" i="81"/>
  <c r="K216" i="81"/>
  <c r="J175" i="81"/>
  <c r="J214" i="81"/>
  <c r="K215" i="81"/>
  <c r="K175" i="81"/>
  <c r="J120" i="81"/>
  <c r="J118" i="81"/>
  <c r="L120" i="81"/>
  <c r="I125" i="81"/>
  <c r="J126" i="81"/>
  <c r="I137" i="81"/>
  <c r="J138" i="81"/>
  <c r="I148" i="81"/>
  <c r="J149" i="81"/>
  <c r="I156" i="81"/>
  <c r="J157" i="81"/>
  <c r="I164" i="81"/>
  <c r="J125" i="81"/>
  <c r="I136" i="81"/>
  <c r="J137" i="81"/>
  <c r="K138" i="81"/>
  <c r="I147" i="81"/>
  <c r="J148" i="81"/>
  <c r="K149" i="81"/>
  <c r="I155" i="81"/>
  <c r="J156" i="81"/>
  <c r="K157" i="81"/>
  <c r="I163" i="81"/>
  <c r="J164" i="81"/>
  <c r="I123" i="81"/>
  <c r="J124" i="81"/>
  <c r="K125" i="81"/>
  <c r="I135" i="81"/>
  <c r="J136" i="81"/>
  <c r="K137" i="81"/>
  <c r="I146" i="81"/>
  <c r="J147" i="81"/>
  <c r="K148" i="81"/>
  <c r="I154" i="81"/>
  <c r="J155" i="81"/>
  <c r="K156" i="81"/>
  <c r="I162" i="81"/>
  <c r="J163" i="81"/>
  <c r="K164" i="81"/>
  <c r="I122" i="81"/>
  <c r="J123" i="81"/>
  <c r="I134" i="81"/>
  <c r="J135" i="81"/>
  <c r="K136" i="81"/>
  <c r="I145" i="81"/>
  <c r="J146" i="81"/>
  <c r="K147" i="81"/>
  <c r="I153" i="81"/>
  <c r="J154" i="81"/>
  <c r="K155" i="81"/>
  <c r="I161" i="81"/>
  <c r="J162" i="81"/>
  <c r="K163" i="81"/>
  <c r="K123" i="81"/>
  <c r="I133" i="81"/>
  <c r="J134" i="81"/>
  <c r="K135" i="81"/>
  <c r="I141" i="81"/>
  <c r="J145" i="81"/>
  <c r="K146" i="81"/>
  <c r="I152" i="81"/>
  <c r="J153" i="81"/>
  <c r="K154" i="81"/>
  <c r="I160" i="81"/>
  <c r="J161" i="81"/>
  <c r="K162" i="81"/>
  <c r="J68" i="81"/>
  <c r="I98" i="81"/>
  <c r="J99" i="81"/>
  <c r="I106" i="81"/>
  <c r="J107" i="81"/>
  <c r="J66" i="81"/>
  <c r="L68" i="81"/>
  <c r="I73" i="81"/>
  <c r="J74" i="81"/>
  <c r="I85" i="81"/>
  <c r="J86" i="81"/>
  <c r="K87" i="81"/>
  <c r="L88" i="81"/>
  <c r="I96" i="81"/>
  <c r="J97" i="81"/>
  <c r="K98" i="81"/>
  <c r="L99" i="81"/>
  <c r="I104" i="81"/>
  <c r="J105" i="81"/>
  <c r="K106" i="81"/>
  <c r="L107" i="81"/>
  <c r="I112" i="81"/>
  <c r="J85" i="81"/>
  <c r="K86" i="81"/>
  <c r="J96" i="81"/>
  <c r="K97" i="81"/>
  <c r="I103" i="81"/>
  <c r="J104" i="81"/>
  <c r="K105" i="81"/>
  <c r="I111" i="81"/>
  <c r="J112" i="81"/>
  <c r="J73" i="81"/>
  <c r="I71" i="81"/>
  <c r="K73" i="81"/>
  <c r="I83" i="81"/>
  <c r="J84" i="81"/>
  <c r="K85" i="81"/>
  <c r="I94" i="81"/>
  <c r="J95" i="81"/>
  <c r="K96" i="81"/>
  <c r="I102" i="81"/>
  <c r="J103" i="81"/>
  <c r="K104" i="81"/>
  <c r="I110" i="81"/>
  <c r="J111" i="81"/>
  <c r="K112" i="81"/>
  <c r="J71" i="81"/>
  <c r="K71" i="81"/>
  <c r="I46" i="81"/>
  <c r="J47" i="81"/>
  <c r="I54" i="81"/>
  <c r="J55" i="81"/>
  <c r="I44" i="81"/>
  <c r="J45" i="81"/>
  <c r="K46" i="81"/>
  <c r="I52" i="81"/>
  <c r="J53" i="81"/>
  <c r="K54" i="81"/>
  <c r="I60" i="81"/>
  <c r="I43" i="81"/>
  <c r="J44" i="81"/>
  <c r="K45" i="81"/>
  <c r="I51" i="81"/>
  <c r="J52" i="81"/>
  <c r="K53" i="81"/>
  <c r="I59" i="81"/>
  <c r="J60" i="81"/>
  <c r="J43" i="81"/>
  <c r="K44" i="81"/>
  <c r="I50" i="81"/>
  <c r="J51" i="81"/>
  <c r="K52" i="81"/>
  <c r="I58" i="81"/>
  <c r="J59" i="81"/>
  <c r="K60" i="81"/>
  <c r="K59" i="81"/>
  <c r="I29" i="81"/>
  <c r="J30" i="81"/>
  <c r="I37" i="81"/>
  <c r="I30" i="81"/>
  <c r="I28" i="81"/>
  <c r="J29" i="81"/>
  <c r="K30" i="81"/>
  <c r="J37" i="81"/>
  <c r="J28" i="81"/>
  <c r="K28" i="81" s="1"/>
  <c r="K29" i="81"/>
  <c r="I35" i="81"/>
  <c r="J36" i="81"/>
  <c r="K37" i="81"/>
  <c r="I34" i="81"/>
  <c r="J35" i="81"/>
  <c r="K36" i="81"/>
  <c r="K35" i="81"/>
  <c r="I16" i="81"/>
  <c r="I15" i="81"/>
  <c r="J16" i="81"/>
  <c r="I23" i="81"/>
  <c r="J15" i="81"/>
  <c r="K16" i="81"/>
  <c r="I22" i="81"/>
  <c r="J23" i="81"/>
  <c r="K15" i="81"/>
  <c r="I21" i="81"/>
  <c r="J22" i="81"/>
  <c r="K23" i="81"/>
  <c r="I20" i="81"/>
  <c r="K22" i="81"/>
  <c r="J20" i="81"/>
  <c r="L28" i="81" l="1"/>
  <c r="U12" i="81"/>
  <c r="B11" i="82" l="1"/>
  <c r="E236" i="81"/>
  <c r="E184" i="81"/>
  <c r="E132" i="81"/>
  <c r="A58" i="82"/>
  <c r="E288" i="81"/>
  <c r="D288" i="81"/>
  <c r="B288" i="81"/>
  <c r="A288" i="81"/>
  <c r="E272" i="81"/>
  <c r="B272" i="81"/>
  <c r="A272" i="81"/>
  <c r="B236" i="81"/>
  <c r="A236" i="81"/>
  <c r="E220" i="81"/>
  <c r="A220" i="81"/>
  <c r="E168" i="81"/>
  <c r="B168" i="81"/>
  <c r="A168" i="81"/>
  <c r="B35" i="82"/>
  <c r="D184" i="81"/>
  <c r="B184" i="81"/>
  <c r="A184" i="81"/>
  <c r="F119" i="81"/>
  <c r="F120" i="81"/>
  <c r="F121" i="81"/>
  <c r="F122" i="81"/>
  <c r="F123" i="81"/>
  <c r="F124" i="81"/>
  <c r="F125" i="81"/>
  <c r="F126" i="81"/>
  <c r="F127" i="81"/>
  <c r="F118" i="81"/>
  <c r="F133" i="81"/>
  <c r="F134" i="81"/>
  <c r="F135" i="81"/>
  <c r="F136" i="81"/>
  <c r="F137" i="81"/>
  <c r="F138" i="81"/>
  <c r="F139" i="81"/>
  <c r="F140" i="81"/>
  <c r="F141" i="81"/>
  <c r="D132" i="81"/>
  <c r="A132" i="81"/>
  <c r="B132" i="81"/>
  <c r="E116" i="81"/>
  <c r="B116" i="81"/>
  <c r="A116" i="81"/>
  <c r="M184" i="81" l="1"/>
  <c r="N184" i="81" s="1"/>
  <c r="H184" i="81"/>
  <c r="J184" i="81" s="1"/>
  <c r="K184" i="81" s="1"/>
  <c r="M132" i="81"/>
  <c r="N132" i="81" s="1"/>
  <c r="H132" i="81"/>
  <c r="J132" i="81" s="1"/>
  <c r="K132" i="81" s="1"/>
  <c r="M236" i="81"/>
  <c r="N236" i="81" s="1"/>
  <c r="H236" i="81"/>
  <c r="J236" i="81" s="1"/>
  <c r="M288" i="81"/>
  <c r="N288" i="81" s="1"/>
  <c r="H288" i="81"/>
  <c r="J288" i="81" s="1"/>
  <c r="K288" i="81" s="1"/>
  <c r="G272" i="81"/>
  <c r="O272" i="81"/>
  <c r="P272" i="81" s="1"/>
  <c r="G168" i="81"/>
  <c r="O168" i="81"/>
  <c r="P168" i="81" s="1"/>
  <c r="O116" i="81"/>
  <c r="P116" i="81" s="1"/>
  <c r="G116" i="81"/>
  <c r="G220" i="81"/>
  <c r="O220" i="81"/>
  <c r="P220" i="81" s="1"/>
  <c r="B220" i="81"/>
  <c r="F132" i="81"/>
  <c r="I288" i="81" l="1"/>
  <c r="I236" i="81"/>
  <c r="I184" i="81"/>
  <c r="I132" i="81"/>
  <c r="U116" i="81"/>
  <c r="L132" i="81"/>
  <c r="T116" i="81" s="1"/>
  <c r="U272" i="81"/>
  <c r="L288" i="81"/>
  <c r="U220" i="81"/>
  <c r="L236" i="81"/>
  <c r="T220" i="81" s="1"/>
  <c r="U168" i="81"/>
  <c r="L184" i="81"/>
  <c r="A29" i="66"/>
  <c r="B29" i="66"/>
  <c r="V220" i="81" l="1"/>
  <c r="T272" i="81"/>
  <c r="V272" i="81" s="1"/>
  <c r="T168" i="81"/>
  <c r="V168" i="81" s="1"/>
  <c r="V116" i="81"/>
  <c r="B58" i="82"/>
  <c r="A9" i="81" l="1"/>
  <c r="B61" i="81" l="1"/>
  <c r="B38" i="81"/>
  <c r="B25" i="81"/>
  <c r="B233" i="81"/>
  <c r="B90" i="81"/>
  <c r="B129" i="81"/>
  <c r="B217" i="81"/>
  <c r="B77" i="81"/>
  <c r="B269" i="81"/>
  <c r="B194" i="81"/>
  <c r="B321" i="81"/>
  <c r="B181" i="81"/>
  <c r="B298" i="81"/>
  <c r="B165" i="81"/>
  <c r="B285" i="81"/>
  <c r="B142" i="81"/>
  <c r="B246" i="81"/>
  <c r="B113" i="81"/>
  <c r="B26" i="66" l="1"/>
  <c r="A26" i="66"/>
  <c r="B23" i="66"/>
  <c r="A23" i="66"/>
  <c r="B20" i="66"/>
  <c r="A20" i="66"/>
  <c r="B17" i="66"/>
  <c r="A17" i="66"/>
  <c r="D236" i="81" l="1"/>
  <c r="K236" i="81" s="1"/>
  <c r="L328" i="81" l="1"/>
  <c r="L329" i="81"/>
  <c r="L330" i="81"/>
  <c r="L331" i="81"/>
  <c r="L332" i="81"/>
  <c r="L333" i="81"/>
  <c r="L334" i="81"/>
  <c r="L335" i="81"/>
  <c r="L336" i="81"/>
  <c r="A8" i="83" l="1"/>
  <c r="A7" i="81"/>
  <c r="A9" i="66"/>
  <c r="A15" i="91" l="1"/>
  <c r="D80" i="81" l="1"/>
  <c r="B80" i="81"/>
  <c r="A80" i="81"/>
  <c r="M80" i="81" l="1"/>
  <c r="N80" i="81" s="1"/>
  <c r="H80" i="81"/>
  <c r="J80" i="81" s="1"/>
  <c r="K80" i="81" s="1"/>
  <c r="A5" i="127" l="1"/>
  <c r="E28" i="127"/>
  <c r="E25" i="127"/>
  <c r="E21" i="127"/>
  <c r="E31" i="127" l="1"/>
  <c r="F11" i="82" l="1"/>
  <c r="C9" i="81"/>
  <c r="C61" i="81" l="1"/>
  <c r="F61" i="81" s="1"/>
  <c r="C38" i="81"/>
  <c r="F38" i="81" s="1"/>
  <c r="C25" i="81"/>
  <c r="C217" i="81"/>
  <c r="C77" i="81"/>
  <c r="C194" i="81"/>
  <c r="C321" i="81"/>
  <c r="C181" i="81"/>
  <c r="C298" i="81"/>
  <c r="C165" i="81"/>
  <c r="C246" i="81"/>
  <c r="C285" i="81"/>
  <c r="C142" i="81"/>
  <c r="C269" i="81"/>
  <c r="C129" i="81"/>
  <c r="C113" i="81"/>
  <c r="C233" i="81"/>
  <c r="C90" i="81"/>
  <c r="I12" i="81" l="1"/>
  <c r="F39" i="81"/>
  <c r="G19" i="82" s="1"/>
  <c r="J12" i="81"/>
  <c r="F62" i="81"/>
  <c r="H19" i="82" s="1"/>
  <c r="H17" i="82" s="1"/>
  <c r="G17" i="82" l="1"/>
  <c r="G48" i="82" s="1"/>
  <c r="F87" i="81"/>
  <c r="F86" i="81"/>
  <c r="F216" i="81"/>
  <c r="F215" i="81"/>
  <c r="F214" i="81"/>
  <c r="F213" i="81"/>
  <c r="F212" i="81"/>
  <c r="F211" i="81"/>
  <c r="F210" i="81"/>
  <c r="F209" i="81"/>
  <c r="F208" i="81"/>
  <c r="F207" i="81"/>
  <c r="F206" i="81"/>
  <c r="F205" i="81"/>
  <c r="F204" i="81"/>
  <c r="F203" i="81"/>
  <c r="F202" i="81"/>
  <c r="F201" i="81"/>
  <c r="F200" i="81"/>
  <c r="F199" i="81"/>
  <c r="F198" i="81"/>
  <c r="F197" i="81"/>
  <c r="F193" i="81"/>
  <c r="F192" i="81"/>
  <c r="F191" i="81"/>
  <c r="F190" i="81"/>
  <c r="F188" i="81"/>
  <c r="F179" i="81"/>
  <c r="F178" i="81"/>
  <c r="F177" i="81"/>
  <c r="F176" i="81"/>
  <c r="F175" i="81"/>
  <c r="F174" i="81"/>
  <c r="F173" i="81"/>
  <c r="F164" i="81"/>
  <c r="F163" i="81"/>
  <c r="F162" i="81"/>
  <c r="F161" i="81"/>
  <c r="F160" i="81"/>
  <c r="F159" i="81"/>
  <c r="F158" i="81"/>
  <c r="F157" i="81"/>
  <c r="F156" i="81"/>
  <c r="F155" i="81"/>
  <c r="F154" i="81"/>
  <c r="F153" i="81"/>
  <c r="F152" i="81"/>
  <c r="F151" i="81"/>
  <c r="F150" i="81"/>
  <c r="F149" i="81"/>
  <c r="F148" i="81"/>
  <c r="F147" i="81"/>
  <c r="F146" i="81"/>
  <c r="F145" i="81"/>
  <c r="F112" i="81"/>
  <c r="F111" i="81"/>
  <c r="F110" i="81"/>
  <c r="F109" i="81"/>
  <c r="F108" i="81"/>
  <c r="F107" i="81"/>
  <c r="F106" i="81"/>
  <c r="F105" i="81"/>
  <c r="F104" i="81"/>
  <c r="F103" i="81"/>
  <c r="F102" i="81"/>
  <c r="F101" i="81"/>
  <c r="F100" i="81"/>
  <c r="F99" i="81"/>
  <c r="F98" i="81"/>
  <c r="F97" i="81"/>
  <c r="F96" i="81"/>
  <c r="F95" i="81"/>
  <c r="F94" i="81"/>
  <c r="F93" i="81"/>
  <c r="F89" i="81"/>
  <c r="F75" i="81"/>
  <c r="F74" i="81"/>
  <c r="F73" i="81"/>
  <c r="F72" i="81"/>
  <c r="F71" i="81"/>
  <c r="F70" i="81"/>
  <c r="F69" i="81"/>
  <c r="E64" i="81"/>
  <c r="B64" i="81"/>
  <c r="A64" i="81"/>
  <c r="O64" i="81" l="1"/>
  <c r="P64" i="81" s="1"/>
  <c r="G64" i="81"/>
  <c r="U64" i="81" l="1"/>
  <c r="L80" i="81"/>
  <c r="T64" i="81" s="1"/>
  <c r="V64" i="81" l="1"/>
  <c r="F88" i="81"/>
  <c r="E80" i="81" l="1"/>
  <c r="I80" i="81" s="1"/>
  <c r="F82" i="81" l="1"/>
  <c r="F187" i="81"/>
  <c r="F80" i="81"/>
  <c r="F184" i="81"/>
  <c r="F81" i="81"/>
  <c r="F84" i="81"/>
  <c r="F85" i="81"/>
  <c r="F189" i="81"/>
  <c r="F186" i="81"/>
  <c r="F83" i="81"/>
  <c r="F185" i="81"/>
  <c r="B56" i="82"/>
  <c r="A56" i="82"/>
  <c r="G12" i="83" l="1"/>
  <c r="F252" i="81" l="1"/>
  <c r="F251" i="81"/>
  <c r="F250" i="81"/>
  <c r="F249" i="81"/>
  <c r="F268" i="81"/>
  <c r="F267" i="81"/>
  <c r="F266" i="81"/>
  <c r="F265" i="81"/>
  <c r="F264" i="81"/>
  <c r="F263" i="81"/>
  <c r="F262" i="81"/>
  <c r="F261" i="81"/>
  <c r="F260" i="81"/>
  <c r="F259" i="81"/>
  <c r="F258" i="81"/>
  <c r="F257" i="81"/>
  <c r="F256" i="81"/>
  <c r="F255" i="81"/>
  <c r="F254" i="81"/>
  <c r="F253" i="81"/>
  <c r="F245" i="81"/>
  <c r="F244" i="81"/>
  <c r="F243" i="81"/>
  <c r="F242" i="81"/>
  <c r="F241" i="81"/>
  <c r="F240" i="81"/>
  <c r="F239" i="81"/>
  <c r="F238" i="81"/>
  <c r="F237" i="81"/>
  <c r="F236" i="81"/>
  <c r="F231" i="81"/>
  <c r="F230" i="81"/>
  <c r="F229" i="81"/>
  <c r="F228" i="81"/>
  <c r="F227" i="81"/>
  <c r="F226" i="81"/>
  <c r="F225" i="81"/>
  <c r="F224" i="81"/>
  <c r="F8" i="81" l="1"/>
  <c r="F315" i="81" l="1"/>
  <c r="F314" i="81"/>
  <c r="F313" i="81"/>
  <c r="F312" i="81"/>
  <c r="F311" i="81"/>
  <c r="F142" i="81" l="1"/>
  <c r="I116" i="81" s="1"/>
  <c r="F194" i="81"/>
  <c r="I168" i="81" s="1"/>
  <c r="F113" i="81"/>
  <c r="J64" i="81" s="1"/>
  <c r="F246" i="81"/>
  <c r="I220" i="81" s="1"/>
  <c r="F217" i="81"/>
  <c r="J168" i="81" s="1"/>
  <c r="F165" i="81"/>
  <c r="J116" i="81" s="1"/>
  <c r="F90" i="81"/>
  <c r="I64" i="81" s="1"/>
  <c r="F269" i="81"/>
  <c r="J220" i="81" s="1"/>
  <c r="F166" i="81" l="1"/>
  <c r="H27" i="82" s="1"/>
  <c r="H25" i="82" s="1"/>
  <c r="F195" i="81"/>
  <c r="F218" i="81"/>
  <c r="H31" i="82" s="1"/>
  <c r="H29" i="82" s="1"/>
  <c r="F143" i="81"/>
  <c r="F91" i="81"/>
  <c r="F114" i="81"/>
  <c r="H23" i="82" s="1"/>
  <c r="H21" i="82" s="1"/>
  <c r="F247" i="81"/>
  <c r="F270" i="81"/>
  <c r="H35" i="82" s="1"/>
  <c r="H33" i="82" s="1"/>
  <c r="G35" i="82" l="1"/>
  <c r="G33" i="82" s="1"/>
  <c r="G31" i="82"/>
  <c r="G29" i="82" s="1"/>
  <c r="G27" i="82"/>
  <c r="G25" i="82" s="1"/>
  <c r="G23" i="82"/>
  <c r="A8" i="81"/>
  <c r="B24" i="81" s="1"/>
  <c r="G21" i="82" l="1"/>
  <c r="B232" i="81"/>
  <c r="B128" i="81"/>
  <c r="B76" i="81"/>
  <c r="B180" i="81"/>
  <c r="C45" i="91" l="1"/>
  <c r="C39" i="91"/>
  <c r="C28" i="91"/>
  <c r="C47" i="91" l="1"/>
  <c r="C46" i="91"/>
  <c r="C48" i="91" l="1"/>
  <c r="C49" i="91" s="1"/>
  <c r="F10" i="82" l="1"/>
  <c r="O11" i="83"/>
  <c r="K12" i="83" s="1"/>
  <c r="C8" i="81"/>
  <c r="C24" i="81" s="1"/>
  <c r="E14" i="81" l="1"/>
  <c r="F14" i="81" s="1"/>
  <c r="F24" i="81" s="1"/>
  <c r="H14" i="81"/>
  <c r="C232" i="81"/>
  <c r="C128" i="81"/>
  <c r="C76" i="81"/>
  <c r="C180" i="81"/>
  <c r="J14" i="81" l="1"/>
  <c r="K14" i="81" s="1"/>
  <c r="L14" i="81"/>
  <c r="T12" i="81" s="1"/>
  <c r="V12" i="81" s="1"/>
  <c r="I14" i="81"/>
  <c r="F25" i="81"/>
  <c r="H12" i="81" s="1"/>
  <c r="K12" i="81" s="1"/>
  <c r="M12" i="81"/>
  <c r="F67" i="81"/>
  <c r="F26" i="81" l="1"/>
  <c r="F19" i="82" s="1"/>
  <c r="F171" i="81"/>
  <c r="I19" i="82" l="1"/>
  <c r="F17" i="82"/>
  <c r="F12" i="81"/>
  <c r="N12" i="81" s="1"/>
  <c r="Q12" i="81"/>
  <c r="F48" i="82" l="1"/>
  <c r="L12" i="81"/>
  <c r="F308" i="81"/>
  <c r="F222" i="81" l="1"/>
  <c r="F280" i="81" l="1"/>
  <c r="F276" i="81"/>
  <c r="F277" i="81"/>
  <c r="F278" i="81"/>
  <c r="F279" i="81"/>
  <c r="F281" i="81"/>
  <c r="F282" i="81"/>
  <c r="F283" i="81"/>
  <c r="B284" i="81"/>
  <c r="F288" i="81"/>
  <c r="F289" i="81"/>
  <c r="F290" i="81"/>
  <c r="F291" i="81"/>
  <c r="F292" i="81"/>
  <c r="F293" i="81"/>
  <c r="F294" i="81"/>
  <c r="F295" i="81"/>
  <c r="F296" i="81"/>
  <c r="F297" i="81"/>
  <c r="F301" i="81"/>
  <c r="F302" i="81"/>
  <c r="F303" i="81"/>
  <c r="F305" i="81"/>
  <c r="F304" i="81"/>
  <c r="F306" i="81"/>
  <c r="F307" i="81"/>
  <c r="F309" i="81"/>
  <c r="F310" i="81"/>
  <c r="F316" i="81"/>
  <c r="F317" i="81"/>
  <c r="F318" i="81"/>
  <c r="F319" i="81"/>
  <c r="F320" i="81"/>
  <c r="H18" i="83" l="1"/>
  <c r="I18" i="83" s="1"/>
  <c r="H19" i="83"/>
  <c r="H17" i="83"/>
  <c r="I17" i="83" s="1"/>
  <c r="H20" i="83"/>
  <c r="I20" i="83" s="1"/>
  <c r="B54" i="82" l="1"/>
  <c r="A54" i="82"/>
  <c r="B52" i="82"/>
  <c r="A52" i="82"/>
  <c r="H16" i="83" l="1"/>
  <c r="I16" i="83" s="1"/>
  <c r="H15" i="83"/>
  <c r="I15" i="83" s="1"/>
  <c r="I19" i="83"/>
  <c r="F274" i="81"/>
  <c r="G324" i="81" l="1"/>
  <c r="F66" i="81"/>
  <c r="F172" i="81"/>
  <c r="F223" i="81"/>
  <c r="F275" i="81"/>
  <c r="F68" i="81"/>
  <c r="F170" i="81"/>
  <c r="H12" i="83" l="1"/>
  <c r="F128" i="81"/>
  <c r="M116" i="81" s="1"/>
  <c r="F180" i="81"/>
  <c r="F232" i="81"/>
  <c r="M220" i="81" s="1"/>
  <c r="F76" i="81"/>
  <c r="F298" i="81"/>
  <c r="I272" i="81" s="1"/>
  <c r="F77" i="81" l="1"/>
  <c r="F78" i="81" s="1"/>
  <c r="M64" i="81"/>
  <c r="F181" i="81"/>
  <c r="F182" i="81" s="1"/>
  <c r="Q168" i="81" s="1"/>
  <c r="M168" i="81"/>
  <c r="I12" i="83"/>
  <c r="F129" i="81"/>
  <c r="H116" i="81" s="1"/>
  <c r="K116" i="81" s="1"/>
  <c r="F233" i="81"/>
  <c r="H220" i="81" s="1"/>
  <c r="K220" i="81" s="1"/>
  <c r="F321" i="81"/>
  <c r="J272" i="81" s="1"/>
  <c r="F299" i="81"/>
  <c r="H168" i="81" l="1"/>
  <c r="K168" i="81" s="1"/>
  <c r="Q64" i="81"/>
  <c r="F23" i="82"/>
  <c r="H64" i="81"/>
  <c r="K64" i="81" s="1"/>
  <c r="F31" i="82"/>
  <c r="F29" i="82" s="1"/>
  <c r="F64" i="81"/>
  <c r="F168" i="81"/>
  <c r="G39" i="82"/>
  <c r="G37" i="82" s="1"/>
  <c r="I43" i="82" s="1"/>
  <c r="F130" i="81"/>
  <c r="Q116" i="81" s="1"/>
  <c r="F234" i="81"/>
  <c r="Q220" i="81" s="1"/>
  <c r="F322" i="81"/>
  <c r="H39" i="82" s="1"/>
  <c r="H37" i="82" l="1"/>
  <c r="I44" i="82" s="1"/>
  <c r="F21" i="82"/>
  <c r="I23" i="82"/>
  <c r="R64" i="81" s="1"/>
  <c r="S64" i="81" s="1"/>
  <c r="L64" i="81"/>
  <c r="L168" i="81"/>
  <c r="N168" i="81"/>
  <c r="N64" i="81"/>
  <c r="E23" i="82"/>
  <c r="G58" i="82"/>
  <c r="F35" i="82"/>
  <c r="F33" i="82" s="1"/>
  <c r="F27" i="82"/>
  <c r="F25" i="82" s="1"/>
  <c r="F116" i="81"/>
  <c r="E31" i="82"/>
  <c r="I31" i="82"/>
  <c r="R168" i="81" s="1"/>
  <c r="S168" i="81" s="1"/>
  <c r="F220" i="81"/>
  <c r="H30" i="66" l="1"/>
  <c r="E30" i="66"/>
  <c r="L116" i="81"/>
  <c r="N116" i="81"/>
  <c r="N220" i="81"/>
  <c r="L220" i="81"/>
  <c r="H58" i="82"/>
  <c r="I35" i="82"/>
  <c r="R220" i="81" s="1"/>
  <c r="S220" i="81" s="1"/>
  <c r="E35" i="82"/>
  <c r="E27" i="82"/>
  <c r="I27" i="82"/>
  <c r="R116" i="81" s="1"/>
  <c r="S116" i="81" s="1"/>
  <c r="K30" i="66" l="1"/>
  <c r="I30" i="66"/>
  <c r="F30" i="66"/>
  <c r="L30" i="66" l="1"/>
  <c r="C284" i="81"/>
  <c r="F284" i="81" l="1"/>
  <c r="M272" i="81" s="1"/>
  <c r="F285" i="81" l="1"/>
  <c r="F286" i="81" l="1"/>
  <c r="Q272" i="81" s="1"/>
  <c r="H272" i="81"/>
  <c r="K272" i="81" s="1"/>
  <c r="F272" i="81" l="1"/>
  <c r="L272" i="81" s="1"/>
  <c r="L324" i="81" s="1"/>
  <c r="F39" i="82"/>
  <c r="F37" i="82" s="1"/>
  <c r="I42" i="82" s="1"/>
  <c r="H52" i="82"/>
  <c r="I39" i="82" l="1"/>
  <c r="R272" i="81" s="1"/>
  <c r="S272" i="81" s="1"/>
  <c r="E39" i="82"/>
  <c r="N272" i="81"/>
  <c r="F21" i="66"/>
  <c r="I21" i="66"/>
  <c r="H50" i="82"/>
  <c r="F58" i="82"/>
  <c r="I37" i="82"/>
  <c r="G52" i="82"/>
  <c r="L21" i="66" l="1"/>
  <c r="D30" i="66"/>
  <c r="G30" i="66"/>
  <c r="G29" i="66" s="1"/>
  <c r="I18" i="66"/>
  <c r="F18" i="66"/>
  <c r="H21" i="66"/>
  <c r="E21" i="66"/>
  <c r="H22" i="83"/>
  <c r="F38" i="82"/>
  <c r="F59" i="82" s="1"/>
  <c r="H38" i="82"/>
  <c r="H59" i="82" s="1"/>
  <c r="G38" i="82"/>
  <c r="G59" i="82" s="1"/>
  <c r="C29" i="66"/>
  <c r="D29" i="66" l="1"/>
  <c r="D31" i="66" s="1"/>
  <c r="L18" i="66"/>
  <c r="J30" i="66"/>
  <c r="J29" i="66" s="1"/>
  <c r="J31" i="66" s="1"/>
  <c r="K21" i="66"/>
  <c r="G31" i="66"/>
  <c r="F50" i="82"/>
  <c r="I25" i="82"/>
  <c r="F52" i="82"/>
  <c r="G18" i="66" l="1"/>
  <c r="D18" i="66"/>
  <c r="M29" i="66"/>
  <c r="M31" i="66" s="1"/>
  <c r="I52" i="82"/>
  <c r="D21" i="66"/>
  <c r="G21" i="66"/>
  <c r="G20" i="66" s="1"/>
  <c r="C20" i="66"/>
  <c r="I58" i="82"/>
  <c r="F26" i="82"/>
  <c r="F53" i="82" s="1"/>
  <c r="H26" i="82"/>
  <c r="H53" i="82" s="1"/>
  <c r="G26" i="82"/>
  <c r="G53" i="82" s="1"/>
  <c r="J21" i="66" l="1"/>
  <c r="J20" i="66" s="1"/>
  <c r="J22" i="66" s="1"/>
  <c r="D20" i="66"/>
  <c r="D22" i="66" s="1"/>
  <c r="J18" i="66"/>
  <c r="G22" i="66"/>
  <c r="M20" i="66" l="1"/>
  <c r="M22" i="66" s="1"/>
  <c r="H324" i="81"/>
  <c r="I324" i="81" s="1"/>
  <c r="G325" i="81" l="1"/>
  <c r="F56" i="82" l="1"/>
  <c r="G27" i="66" l="1"/>
  <c r="D27" i="66"/>
  <c r="G56" i="82"/>
  <c r="H56" i="82"/>
  <c r="I33" i="82"/>
  <c r="J27" i="66" l="1"/>
  <c r="I27" i="66"/>
  <c r="F27" i="66"/>
  <c r="I56" i="82"/>
  <c r="H27" i="66"/>
  <c r="E27" i="66"/>
  <c r="G34" i="82"/>
  <c r="G57" i="82" s="1"/>
  <c r="C26" i="66"/>
  <c r="H34" i="82"/>
  <c r="H57" i="82" s="1"/>
  <c r="F34" i="82"/>
  <c r="F57" i="82" s="1"/>
  <c r="H54" i="82"/>
  <c r="G26" i="66" l="1"/>
  <c r="G28" i="66" s="1"/>
  <c r="L27" i="66"/>
  <c r="K27" i="66"/>
  <c r="I24" i="66"/>
  <c r="F24" i="66"/>
  <c r="D26" i="66"/>
  <c r="D28" i="66" s="1"/>
  <c r="J26" i="66" l="1"/>
  <c r="J28" i="66" s="1"/>
  <c r="M26" i="66"/>
  <c r="M28" i="66" s="1"/>
  <c r="L24" i="66"/>
  <c r="G50" i="82"/>
  <c r="I21" i="82"/>
  <c r="I50" i="82" l="1"/>
  <c r="H18" i="66"/>
  <c r="E18" i="66"/>
  <c r="C17" i="66"/>
  <c r="G22" i="82"/>
  <c r="F22" i="82"/>
  <c r="H22" i="82"/>
  <c r="H51" i="82" s="1"/>
  <c r="K18" i="66" l="1"/>
  <c r="J17" i="66" s="1"/>
  <c r="D17" i="66"/>
  <c r="F49" i="82"/>
  <c r="F51" i="82"/>
  <c r="G49" i="82"/>
  <c r="G51" i="82"/>
  <c r="H49" i="82"/>
  <c r="D19" i="66" l="1"/>
  <c r="J19" i="66"/>
  <c r="M17" i="66"/>
  <c r="G54" i="82"/>
  <c r="H24" i="66" l="1"/>
  <c r="E24" i="66"/>
  <c r="K24" i="66" l="1"/>
  <c r="I29" i="82"/>
  <c r="F54" i="82"/>
  <c r="G24" i="66" l="1"/>
  <c r="D24" i="66"/>
  <c r="C23" i="66"/>
  <c r="F30" i="82"/>
  <c r="F55" i="82" s="1"/>
  <c r="I54" i="82"/>
  <c r="G30" i="82"/>
  <c r="H30" i="82"/>
  <c r="J24" i="66" l="1"/>
  <c r="M23" i="66" s="1"/>
  <c r="M25" i="66" s="1"/>
  <c r="D23" i="66"/>
  <c r="G23" i="66"/>
  <c r="G25" i="66" s="1"/>
  <c r="H55" i="82"/>
  <c r="G55" i="82"/>
  <c r="J23" i="66" l="1"/>
  <c r="J25" i="66" s="1"/>
  <c r="D25" i="66"/>
  <c r="P15" i="66"/>
  <c r="G17" i="66"/>
  <c r="R15" i="66" l="1"/>
  <c r="F15" i="66"/>
  <c r="F34" i="66" s="1"/>
  <c r="F38" i="66" s="1"/>
  <c r="F40" i="66" s="1"/>
  <c r="E15" i="66"/>
  <c r="D15" i="66"/>
  <c r="G19" i="66"/>
  <c r="Q15" i="66"/>
  <c r="M19" i="66"/>
  <c r="I15" i="66" l="1"/>
  <c r="I34" i="66" s="1"/>
  <c r="H15" i="66"/>
  <c r="H34" i="66" s="1"/>
  <c r="G15" i="66"/>
  <c r="D14" i="66"/>
  <c r="D34" i="66"/>
  <c r="E34" i="66"/>
  <c r="E38" i="66" s="1"/>
  <c r="E40" i="66" s="1"/>
  <c r="G14" i="66" l="1"/>
  <c r="G34" i="66"/>
  <c r="J15" i="66"/>
  <c r="J34" i="66" s="1"/>
  <c r="K15" i="66"/>
  <c r="K34" i="66" s="1"/>
  <c r="D38" i="66"/>
  <c r="D33" i="66"/>
  <c r="D37" i="66" s="1"/>
  <c r="H38" i="66"/>
  <c r="E46" i="66" l="1"/>
  <c r="D40" i="66"/>
  <c r="G38" i="66"/>
  <c r="H40" i="66"/>
  <c r="G33" i="66"/>
  <c r="G37" i="66" s="1"/>
  <c r="J38" i="66" l="1"/>
  <c r="G40" i="66"/>
  <c r="I38" i="66"/>
  <c r="I40" i="66" s="1"/>
  <c r="H46" i="66" l="1"/>
  <c r="K38" i="66"/>
  <c r="K40" i="66" l="1"/>
  <c r="J40" i="66"/>
  <c r="K324" i="81" l="1"/>
  <c r="K325" i="81" s="1"/>
  <c r="K331" i="81" l="1"/>
  <c r="K332" i="81" s="1"/>
  <c r="M324" i="81"/>
  <c r="E19" i="82"/>
  <c r="R12" i="81"/>
  <c r="S12" i="81" s="1"/>
  <c r="I17" i="82" l="1"/>
  <c r="H48" i="82"/>
  <c r="L15" i="66" l="1"/>
  <c r="L34" i="66" s="1"/>
  <c r="I48" i="82"/>
  <c r="I41" i="82"/>
  <c r="J25" i="82" s="1"/>
  <c r="C14" i="66"/>
  <c r="G18" i="82"/>
  <c r="F18" i="82"/>
  <c r="H18" i="82"/>
  <c r="M14" i="66" l="1"/>
  <c r="M33" i="66" s="1"/>
  <c r="J14" i="66"/>
  <c r="J16" i="66" s="1"/>
  <c r="D16" i="66"/>
  <c r="C33" i="66"/>
  <c r="C16" i="66" s="1"/>
  <c r="L38" i="66"/>
  <c r="L40" i="66" s="1"/>
  <c r="J33" i="66"/>
  <c r="J37" i="66" s="1"/>
  <c r="I4" i="83"/>
  <c r="J23" i="82"/>
  <c r="J52" i="82"/>
  <c r="J58" i="82"/>
  <c r="J27" i="82"/>
  <c r="J42" i="82"/>
  <c r="J17" i="82"/>
  <c r="J19" i="82"/>
  <c r="J35" i="82"/>
  <c r="J48" i="82"/>
  <c r="J33" i="82"/>
  <c r="J21" i="82"/>
  <c r="J43" i="82"/>
  <c r="J39" i="82"/>
  <c r="J29" i="82"/>
  <c r="J37" i="82"/>
  <c r="J31" i="82"/>
  <c r="J50" i="82"/>
  <c r="J54" i="82"/>
  <c r="J44" i="82"/>
  <c r="J56" i="82"/>
  <c r="G16" i="66"/>
  <c r="M16" i="66" l="1"/>
  <c r="K46" i="66"/>
  <c r="J41" i="82"/>
  <c r="C19" i="66"/>
  <c r="C31" i="66"/>
  <c r="D35" i="66"/>
  <c r="C25" i="66"/>
  <c r="C22" i="66"/>
  <c r="D39" i="66"/>
  <c r="C28" i="66"/>
  <c r="G39" i="66"/>
  <c r="G35" i="66"/>
  <c r="J35" i="66"/>
  <c r="J39" i="66"/>
  <c r="C35" i="66" l="1"/>
  <c r="M35" i="66"/>
  <c r="H48" i="66"/>
  <c r="H47" i="66"/>
  <c r="K47" i="66"/>
  <c r="K48" i="66"/>
  <c r="E47" i="66"/>
  <c r="E48" i="66"/>
</calcChain>
</file>

<file path=xl/sharedStrings.xml><?xml version="1.0" encoding="utf-8"?>
<sst xmlns="http://schemas.openxmlformats.org/spreadsheetml/2006/main" count="359" uniqueCount="172">
  <si>
    <t>MÃO-DE-OBRA</t>
  </si>
  <si>
    <t>VALOR</t>
  </si>
  <si>
    <t>1.0</t>
  </si>
  <si>
    <t>1.1</t>
  </si>
  <si>
    <t>2.0</t>
  </si>
  <si>
    <t>2.1</t>
  </si>
  <si>
    <t>3.0</t>
  </si>
  <si>
    <t>3.1</t>
  </si>
  <si>
    <t>4.1</t>
  </si>
  <si>
    <t>DESCRIÇÃO</t>
  </si>
  <si>
    <t>EQUIPAMENTOS / SERVIÇOS</t>
  </si>
  <si>
    <t>G</t>
  </si>
  <si>
    <t>TOTAL GERAL</t>
  </si>
  <si>
    <t>COMPOSIÇÃO DAS TAXAS DE BDI</t>
  </si>
  <si>
    <t>ADMINISTRAÇÃO CENTRAL</t>
  </si>
  <si>
    <t>A</t>
  </si>
  <si>
    <t>B</t>
  </si>
  <si>
    <t>C</t>
  </si>
  <si>
    <t>D</t>
  </si>
  <si>
    <t>UNID.</t>
  </si>
  <si>
    <t>MATERIAIS</t>
  </si>
  <si>
    <t>ITEM</t>
  </si>
  <si>
    <t>SERVIÇO</t>
  </si>
  <si>
    <t>QUANT.</t>
  </si>
  <si>
    <t>PREÇO</t>
  </si>
  <si>
    <t>MO</t>
  </si>
  <si>
    <t>%</t>
  </si>
  <si>
    <t>UNIT.(R$)</t>
  </si>
  <si>
    <t>R$</t>
  </si>
  <si>
    <t>TOTAL(R$)</t>
  </si>
  <si>
    <t>SUB-TOTAL</t>
  </si>
  <si>
    <t>4.0</t>
  </si>
  <si>
    <t>SINAPI</t>
  </si>
  <si>
    <t>SABESP</t>
  </si>
  <si>
    <t>LUCRO</t>
  </si>
  <si>
    <t>DESPESAS FINANCEIRAS</t>
  </si>
  <si>
    <t>LS</t>
  </si>
  <si>
    <t>H</t>
  </si>
  <si>
    <t>AC</t>
  </si>
  <si>
    <t>S</t>
  </si>
  <si>
    <t>SEGURO</t>
  </si>
  <si>
    <t>R</t>
  </si>
  <si>
    <t>RISCOS</t>
  </si>
  <si>
    <t>GARANTIAS</t>
  </si>
  <si>
    <t>DF</t>
  </si>
  <si>
    <t>L</t>
  </si>
  <si>
    <t>TOTAL</t>
  </si>
  <si>
    <t>M</t>
  </si>
  <si>
    <t>GRUPO</t>
  </si>
  <si>
    <t>LEIS SOCIAIS HORISTA - JORNADA NORMAL</t>
  </si>
  <si>
    <t>DATA</t>
  </si>
  <si>
    <t>DATA DA ELABORAÇÃO</t>
  </si>
  <si>
    <t>TOTAL DE MÃO DE OBRA</t>
  </si>
  <si>
    <t>TOTAL DE MATERIAIS</t>
  </si>
  <si>
    <t>MÃO DE OBRA</t>
  </si>
  <si>
    <t>COEF.</t>
  </si>
  <si>
    <t>CUSTO UNIT. (R$)</t>
  </si>
  <si>
    <t>TOTAL (R$)</t>
  </si>
  <si>
    <t>UNIDADE:</t>
  </si>
  <si>
    <t>MÊS 1</t>
  </si>
  <si>
    <t>MÊS 2</t>
  </si>
  <si>
    <t>MÊS 3</t>
  </si>
  <si>
    <t>UNID</t>
  </si>
  <si>
    <t>FONTE</t>
  </si>
  <si>
    <t>PIS</t>
  </si>
  <si>
    <t>COFINS</t>
  </si>
  <si>
    <t>A1 – PREVIDÊNCIA SOCIAL (INSS)</t>
  </si>
  <si>
    <t>A2 – SERVIÇO SOCIAL DA INDÚSTRIA (SESI)</t>
  </si>
  <si>
    <t>A3 – SERVIÇO NACIONAL DE APRENDIZAGEM INDUSTRIAL (SENAI)</t>
  </si>
  <si>
    <t>A4 – INSTITUTO NACIONAL DE COLONIZAÇÃO E REFORMA AGRÁRIA (INCRA)</t>
  </si>
  <si>
    <t>A5 – SERVIÇO DE APOIO A PEQUENA E MÉDIA EMPRESA (SEBRAE)</t>
  </si>
  <si>
    <t>A6 – SALÁRIO EDUCAÇÃO</t>
  </si>
  <si>
    <t>A7 – SEGURO CONTRA ACIDENTES DE TRABALHO</t>
  </si>
  <si>
    <t>A8 – FUNDO DE GARANTIA POR TEMPO DE SERVIÇO (FGTS)</t>
  </si>
  <si>
    <t>A9 – SECONCI ( APLICÁVEL AS EMPRESAS CONSTANTES DO III GRUPO DA CLT)</t>
  </si>
  <si>
    <t>A – TOTAL DOS ENCARGOS SOCIAIS BÁSICOS</t>
  </si>
  <si>
    <t>B1 – REPOUSO SEMANAL REMUNERADO</t>
  </si>
  <si>
    <t>B2 – FERIADOS</t>
  </si>
  <si>
    <t>B3 – AUXÍLIO - ENFERMIDADE</t>
  </si>
  <si>
    <t>B4 – 13º SALÁRIO</t>
  </si>
  <si>
    <t>B5 –  LICENÇA PATERNIDADE</t>
  </si>
  <si>
    <t>B6 –  FALTAS JUSTIFICADAS</t>
  </si>
  <si>
    <t>B7 –  DIAS DE CHUVA</t>
  </si>
  <si>
    <t>B8 – AUXÍLIO ACIDENTE DE TRABALHO</t>
  </si>
  <si>
    <t>B9 – FÉRIAS GOZADAS</t>
  </si>
  <si>
    <t>B10 – SALÁRIO MATERNIDADE</t>
  </si>
  <si>
    <t>B – TOTAL DOS ENCARGOS QUE RECEBEM AS INCIDÊNCIAS DE A</t>
  </si>
  <si>
    <t>C1 – AVISO PRÉVIO INDENIZADO</t>
  </si>
  <si>
    <t>C2 – AVISO PRÉVIO TRABALHADO</t>
  </si>
  <si>
    <t>C3 – FÉRIAS INDENIZADAS</t>
  </si>
  <si>
    <t>C4 – DEPÓSITO RESCISÃO SEM JUSTA CAUSA</t>
  </si>
  <si>
    <t>C5 – INDENIZAÇÃO ADICIONAL</t>
  </si>
  <si>
    <t>C – TOTAL DOS ENCARGOS SOCIAIS QUE NÃO RECEBEM INCIDÊNCIAS DE A</t>
  </si>
  <si>
    <t>D1 – REINCIDÊNCIA DO GRUPO A SOBRE GRUPO B</t>
  </si>
  <si>
    <t>D2 – REINCIDÊNCIA DO GRUPO A SOBRE AVISO PRÉVIO TRABALHADO (C2) E REINCIDÊNCIA DO FGTS (A8) SOBRE AVISO PRÉVIO INDENIZADO (C1)</t>
  </si>
  <si>
    <t>D – TOTAL DE REINCIDÊNCIAS DE UM GRUPO SOBRE O OUTRO</t>
  </si>
  <si>
    <t>PORCENTAGEM TOTAL</t>
  </si>
  <si>
    <t>HORISTA</t>
  </si>
  <si>
    <t>CAVALO MECÂNICO COM SEMI-REBOQUE DE 6 EIXOS COM CAPACIDADE DE 74 T - 324 KW</t>
  </si>
  <si>
    <t>ENCARREGADO GERAL COM ENCARGOS COMPLEMENTARES</t>
  </si>
  <si>
    <t>MEDIÇÕES MENSAIS ACUMULADAS</t>
  </si>
  <si>
    <t>SALDO CONTRATUAL</t>
  </si>
  <si>
    <t>MEDIÇÃO MENSAL</t>
  </si>
  <si>
    <t>MÃO OBRA</t>
  </si>
  <si>
    <t>MATERIAL</t>
  </si>
  <si>
    <t>DATAS-BASE:</t>
  </si>
  <si>
    <t>5.0</t>
  </si>
  <si>
    <t>5.1</t>
  </si>
  <si>
    <t>TOTAL DE EQUIPAMENTOS E SERVIÇOS</t>
  </si>
  <si>
    <t>CP</t>
  </si>
  <si>
    <t>TRIBUTOS - COFINS E PIS</t>
  </si>
  <si>
    <t>ISS</t>
  </si>
  <si>
    <t>TRIBUTOS - ISS</t>
  </si>
  <si>
    <t>ISS – IMPOSTO SOBRE SERVIÇOS</t>
  </si>
  <si>
    <t>CPRB</t>
  </si>
  <si>
    <t>TRIBUTOS - CONTRIBUIÇÃO PREVIDENCIÁRIA SOBRE A RENDA BRUTA</t>
  </si>
  <si>
    <t>DESONERAÇÃO - 0% OU 4,5%</t>
  </si>
  <si>
    <t>EQUIPAMENTOS E SERVIÇOS</t>
  </si>
  <si>
    <r>
      <t xml:space="preserve">Caso a Licitante se enquadre na Lei Nº 12.244/2013 e apresente </t>
    </r>
    <r>
      <rPr>
        <b/>
        <sz val="12"/>
        <rFont val="Times New Roman"/>
        <family val="1"/>
      </rPr>
      <t>Proposta com Desoneração</t>
    </r>
    <r>
      <rPr>
        <sz val="12"/>
        <rFont val="Times New Roman"/>
        <family val="1"/>
      </rPr>
      <t>, preencher com a alíquota correspondente.</t>
    </r>
  </si>
  <si>
    <t>JORNADA NORMAL</t>
  </si>
  <si>
    <r>
      <t xml:space="preserve">Conforme </t>
    </r>
    <r>
      <rPr>
        <b/>
        <sz val="12"/>
        <rFont val="Times New Roman"/>
        <family val="1"/>
      </rPr>
      <t>Lei Complementar nº 178 de 29 de dezembro de 2003 e alterações</t>
    </r>
    <r>
      <rPr>
        <sz val="12"/>
        <rFont val="Times New Roman"/>
        <family val="1"/>
      </rPr>
      <t xml:space="preserve">, que dispõe sobre a instituição do imposto sobre serviços de qualquer natureza – ISSQN no Município de São José do Rio Preto/SP, Art. 31 Inciso I, o ISS para o objeto deste Processo Licitatório será de </t>
    </r>
    <r>
      <rPr>
        <b/>
        <sz val="12"/>
        <rFont val="Times New Roman"/>
        <family val="1"/>
      </rPr>
      <t>5%</t>
    </r>
    <r>
      <rPr>
        <sz val="12"/>
        <rFont val="Times New Roman"/>
        <family val="1"/>
      </rPr>
      <t xml:space="preserve"> com redução de 50% na base de cálculo da prestação do serviço, resultando em alíquota de </t>
    </r>
    <r>
      <rPr>
        <b/>
        <sz val="12"/>
        <rFont val="Times New Roman"/>
        <family val="1"/>
      </rPr>
      <t>2,5% sobre o Valor Total da Obra</t>
    </r>
    <r>
      <rPr>
        <sz val="12"/>
        <rFont val="Times New Roman"/>
        <family val="1"/>
      </rPr>
      <t>, adotada na elaboração do BDI médio.</t>
    </r>
  </si>
  <si>
    <t>M.O. / SERV. / MAT. COMUNS</t>
  </si>
  <si>
    <t>MAT. / EQUIP.</t>
  </si>
  <si>
    <t>GUARDA CORPO RETO FIBRA DE VIDRO ( PRFV) TIPO 1 NTS282-2020</t>
  </si>
  <si>
    <t>FORNECIMENTO POSTO OBRA E INSTALAÇÃO DE GUARDA-CORPO RETO EM POLÍMERO REFORÇADO COM FIBRA DE VIDRO</t>
  </si>
  <si>
    <t>FORNECIMENTO POSTO OBRA E INSTALAÇÃO DE GUARDA-CORPO ESCADA EM POLÍMERO REFORÇADO COM FIBRA DE VIDRO</t>
  </si>
  <si>
    <t>GUARDA-CORPO ESCADA FIBRA DE VIDRO (PRFV) TIPO 1 NTS 282-2020</t>
  </si>
  <si>
    <t>FORNECIMENTO POSTO OBRA E INSTALAÇÃO DE GUARDA-CORPO EM AÇO INOXIDÁVEL</t>
  </si>
  <si>
    <t>GUARDA CORPO RETO AÇO INOX TIPO 1 NTS282-2020</t>
  </si>
  <si>
    <t>ESCADA MARINHEIRO EM FIBRA DE VIDRO PULTRUDADA</t>
  </si>
  <si>
    <t>GUARDA CORPO ESCADA EM FIBRA DE VIDRO PULTRUDADA</t>
  </si>
  <si>
    <t>ESCADA TIPO MARINHEIRO FIBRA DE VIDRO DESNÍVEL MÁX 10M</t>
  </si>
  <si>
    <t>GRADE PISO EM FIBRA DE VIDRO INJETADA</t>
  </si>
  <si>
    <t>GRADE PISO INJETADA PRFV H=38MM E=4MM VÃO 38X38MM INCLUIDO QUADRO DE APOIO</t>
  </si>
  <si>
    <t>M²</t>
  </si>
  <si>
    <t>FORNECIMENTO E INSTALAÇÃO COMPLETA DE QUADRO DE APOIO E GRADE  DE PISO EM POLÍMERO REFORÇADO COM FIBRA DE VIDRO</t>
  </si>
  <si>
    <t>CANTEIRO DE OBRAS</t>
  </si>
  <si>
    <t>6.0</t>
  </si>
  <si>
    <t>6.1</t>
  </si>
  <si>
    <t>MÊS</t>
  </si>
  <si>
    <t>CONTAINER 2,30 X 6,00 M, ALT. 2,50 M, COM 1 SANITARIO, PARA ESCRITORIO, COMPLETO</t>
  </si>
  <si>
    <t>OPERAÇÃO DO CANTEIRO DE OBRAS</t>
  </si>
  <si>
    <t xml:space="preserve">OBJETO: FORNECIMENTO E INSTALAÇÃO DE GUARDA-CORPOS, ESCADAS MARINHEIROS E GRADES-PISO, EM FIBRA DE VIDRO, NAS ÁREAS DE PROCESSO DA ESTAÇÃO DE TRATAMENTO DE ÁGUA. </t>
  </si>
  <si>
    <t>GUARDA CORPO PLANO EM AÇO INOX</t>
  </si>
  <si>
    <t>GUARDA CORPO PLANO EM FIBRA DE VIDRO PULTRUDADA</t>
  </si>
  <si>
    <t>JANEIRO/2024</t>
  </si>
  <si>
    <t>GB</t>
  </si>
  <si>
    <t>MAT.</t>
  </si>
  <si>
    <t xml:space="preserve"> EQUIP. / SERV.</t>
  </si>
  <si>
    <t>MAIO/2024</t>
  </si>
  <si>
    <t>TIMBRE LICITANTE</t>
  </si>
  <si>
    <t>ANEXO 3.A - PLANILHA DE ORÇAMENTO BASE - LICITANTE</t>
  </si>
  <si>
    <t>_________________________________________</t>
  </si>
  <si>
    <t>RESPONSÁVEL TÉCNICO</t>
  </si>
  <si>
    <t>ANEXO 8.A - ENCARGOS SOCIAIS E TRABALHISTAS - LICITANTE</t>
  </si>
  <si>
    <t>ANEXO 7.A - BDI - LICITANTE</t>
  </si>
  <si>
    <t>ANEXO 6.A - CUSTOS UNITÁRIOS DE INSUMOS - LICITANTE</t>
  </si>
  <si>
    <t>ANEXO 5.A - COMPOSIÇÕES UNITÁRIAS DE SERVIÇOS - LICITANTE</t>
  </si>
  <si>
    <t>ANEXO 4.A - CRONOGRAMA FÍSICO-FINANCEIRO - LICITANTE</t>
  </si>
  <si>
    <t>FORMA DE PREENCHIMENTO DAS PLANILHAS ELETRÔNICAS</t>
  </si>
  <si>
    <t>1) O presente arquivo eletrônico é composto pelas seguintes planilhas:</t>
  </si>
  <si>
    <t>2) A Licitante deverá preencher todos os campos em amarelo com o valor proposto, nas seguintes planilhas, podendo iniciar o preenchimento em qualquer sequência:</t>
  </si>
  <si>
    <r>
      <t xml:space="preserve">  •    PLANILHA DE ORÇAMENTO BASE – LICITANTE -</t>
    </r>
    <r>
      <rPr>
        <sz val="10"/>
        <color theme="1"/>
        <rFont val="Arial"/>
        <family val="2"/>
      </rPr>
      <t xml:space="preserve"> ANEXO 3.A</t>
    </r>
  </si>
  <si>
    <r>
      <t xml:space="preserve">  •    CRONOGRAMA FÍSICO-FINANCEIRO – LICITANTE </t>
    </r>
    <r>
      <rPr>
        <sz val="10"/>
        <color theme="1"/>
        <rFont val="Arial"/>
        <family val="2"/>
      </rPr>
      <t xml:space="preserve"> - ANEXO 4.A</t>
    </r>
  </si>
  <si>
    <r>
      <t xml:space="preserve">  •    PLANILHA DE COMPOSIÇÕES UNITÁRIAS DE SERVIÇOS – LICITANTE</t>
    </r>
    <r>
      <rPr>
        <sz val="10"/>
        <color theme="1"/>
        <rFont val="Arial"/>
        <family val="2"/>
      </rPr>
      <t xml:space="preserve"> - ANEXO 5.A</t>
    </r>
  </si>
  <si>
    <r>
      <t xml:space="preserve">  •    PLANILHA DE CUSTOS UNITÁRIOS DE INSUMOS/SERVIÇOS – LICITANTE</t>
    </r>
    <r>
      <rPr>
        <sz val="10"/>
        <color theme="1"/>
        <rFont val="Arial"/>
        <family val="2"/>
      </rPr>
      <t xml:space="preserve"> - ANEXO 6.A</t>
    </r>
  </si>
  <si>
    <r>
      <t xml:space="preserve">  •    PLANILHA DE COMPOSIÇÃO DAS TAXAS DE BDI - LICITANTE </t>
    </r>
    <r>
      <rPr>
        <sz val="10"/>
        <color theme="1"/>
        <rFont val="Arial"/>
        <family val="2"/>
      </rPr>
      <t>- ANEXO 7.A</t>
    </r>
  </si>
  <si>
    <r>
      <t xml:space="preserve">  •    PLANILHA DOS ENCARGOS SOCIAIS E TRABALHISTAS - LICITANTE </t>
    </r>
    <r>
      <rPr>
        <sz val="10"/>
        <color theme="1"/>
        <rFont val="Arial"/>
        <family val="2"/>
      </rPr>
      <t>- ANEXO 8.A</t>
    </r>
  </si>
  <si>
    <r>
      <t>3) O</t>
    </r>
    <r>
      <rPr>
        <b/>
        <sz val="10"/>
        <color theme="1"/>
        <rFont val="Arial"/>
        <family val="2"/>
      </rPr>
      <t xml:space="preserve"> CRONOGRAMA FÍSICO-FINANCEIRO</t>
    </r>
    <r>
      <rPr>
        <sz val="10"/>
        <color theme="1"/>
        <rFont val="Arial"/>
        <family val="2"/>
      </rPr>
      <t xml:space="preserve"> (ANEXO 4.A) não receberá valores, pois está em conformidade com o Cronograma de desembolso previsto pela experiência da Equipe Técnica do SeMAE.</t>
    </r>
  </si>
  <si>
    <r>
      <t xml:space="preserve">4) Como sugestão, a Licitante poderá seguir a seguinte sequência: iniciar o preenchimento pela definição da Taxa de Benefícios e Despesas Indiretas (BDI) e dos Encargos Sociais e Trabalhistas, a partir das planilhas </t>
    </r>
    <r>
      <rPr>
        <b/>
        <sz val="10"/>
        <color theme="1"/>
        <rFont val="Arial"/>
        <family val="2"/>
      </rPr>
      <t>"PLANILHA DE COMPOSIÇÃO DAS TAXAS DE BDI – LICITANTE - ANEXO 7.A"</t>
    </r>
    <r>
      <rPr>
        <sz val="10"/>
        <color theme="1"/>
        <rFont val="Arial"/>
        <family val="2"/>
      </rPr>
      <t xml:space="preserve"> e </t>
    </r>
    <r>
      <rPr>
        <b/>
        <sz val="10"/>
        <color theme="1"/>
        <rFont val="Arial"/>
        <family val="2"/>
      </rPr>
      <t>"PLANILHA DOS ENCARGOS SOCIAIS E TRABALHISTAS – LICITANTE - ANEXO 8.A".</t>
    </r>
  </si>
  <si>
    <r>
      <t>5) Em seguida, preencher a "</t>
    </r>
    <r>
      <rPr>
        <b/>
        <sz val="10"/>
        <color theme="1"/>
        <rFont val="Arial"/>
        <family val="2"/>
      </rPr>
      <t>PLANILHA DE CUSTOS UNITÁRIOS DE INSUMOS/SERVIÇOS - LICITANTE - ANEXO 6.A</t>
    </r>
    <r>
      <rPr>
        <sz val="10"/>
        <color theme="1"/>
        <rFont val="Arial"/>
        <family val="2"/>
      </rPr>
      <t>". A "</t>
    </r>
    <r>
      <rPr>
        <b/>
        <sz val="10"/>
        <color theme="1"/>
        <rFont val="Arial"/>
        <family val="2"/>
      </rPr>
      <t>PLANILHA DE COMPOSIÇÕES UNITÁRIAS DE SERVIÇOS - LICITANTE - ANEXO 5.A</t>
    </r>
    <r>
      <rPr>
        <sz val="10"/>
        <color theme="1"/>
        <rFont val="Arial"/>
        <family val="2"/>
      </rPr>
      <t>" mantém os coeficientes utilizados pelo SeMAE, os quais poderão ser alterados pela Licitante.</t>
    </r>
  </si>
  <si>
    <r>
      <t>6) Por fim, a Licitante deverá preencher a "</t>
    </r>
    <r>
      <rPr>
        <b/>
        <sz val="10"/>
        <color theme="1"/>
        <rFont val="Arial"/>
        <family val="2"/>
      </rPr>
      <t>PLANILHA DE ORÇAMENTO – LICITANTE - ANEXO 3.A</t>
    </r>
    <r>
      <rPr>
        <sz val="10"/>
        <color theme="1"/>
        <rFont val="Arial"/>
        <family val="2"/>
      </rPr>
      <t>" nos campos destinados ao TIMBRE DA LICITANTE e o responsável pelo preenchimento.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</si>
</sst>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4" formatCode="_-&quot;R$&quot;* #,##0.00_-;\-&quot;R$&quot;* #,##0.00_-;_-&quot;R$&quot;* &quot;-&quot;??_-;_-@_-"/>
    <numFmt numFmtId="43" formatCode="_-* #,##0.00_-;\-* #,##0.00_-;_-* &quot;-&quot;??_-;_-@_-"/>
    <numFmt numFmtId="164" formatCode="_-&quot;R$&quot;\ * #,##0.00_-;\-&quot;R$&quot;\ * #,##0.00_-;_-&quot;R$&quot;\ * &quot;-&quot;??_-;_-@_-"/>
    <numFmt numFmtId="165" formatCode="&quot;R$ &quot;#,##0.00_);\(&quot;R$ &quot;#,##0.00\)"/>
    <numFmt numFmtId="166" formatCode="_(&quot;R$ &quot;* #,##0.00_);_(&quot;R$ &quot;* \(#,##0.00\);_(&quot;R$ &quot;* &quot;-&quot;??_);_(@_)"/>
    <numFmt numFmtId="167" formatCode="_(* #,##0.00_);_(* \(#,##0.00\);_(* &quot;-&quot;??_);_(@_)"/>
    <numFmt numFmtId="168" formatCode="#,##0.0000"/>
    <numFmt numFmtId="169" formatCode="#,###"/>
    <numFmt numFmtId="170" formatCode="#,##0.00000"/>
    <numFmt numFmtId="171" formatCode="0.000%"/>
    <numFmt numFmtId="172" formatCode="&quot;R$ &quot;#,##0.00"/>
    <numFmt numFmtId="173" formatCode="0#"/>
    <numFmt numFmtId="174" formatCode="[$-416]mmm\-yy;@"/>
    <numFmt numFmtId="175" formatCode="&quot;R$&quot;\ #,##0.00"/>
    <numFmt numFmtId="176" formatCode="_-&quot;R$&quot;\ * #,##0.0000_-;\-&quot;R$&quot;\ * #,##0.0000_-;_-&quot;R$&quot;\ * &quot;-&quot;????_-;_-@_-"/>
    <numFmt numFmtId="177" formatCode="&quot;R$&quot;#,##0.00"/>
  </numFmts>
  <fonts count="5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b/>
      <sz val="10"/>
      <color indexed="1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b/>
      <u/>
      <sz val="10"/>
      <name val="Times New Roman"/>
      <family val="1"/>
    </font>
    <font>
      <sz val="11"/>
      <name val="Times New Roman"/>
      <family val="1"/>
    </font>
    <font>
      <sz val="10"/>
      <color indexed="10"/>
      <name val="Times New Roman"/>
      <family val="1"/>
    </font>
    <font>
      <b/>
      <sz val="14"/>
      <name val="Times New Roman"/>
      <family val="1"/>
    </font>
    <font>
      <b/>
      <sz val="12"/>
      <color indexed="12"/>
      <name val="Times New Roman"/>
      <family val="1"/>
    </font>
    <font>
      <b/>
      <sz val="12"/>
      <color indexed="8"/>
      <name val="Times New Roman"/>
      <family val="1"/>
    </font>
    <font>
      <sz val="10"/>
      <color indexed="9"/>
      <name val="Times New Roman"/>
      <family val="1"/>
    </font>
    <font>
      <sz val="10"/>
      <color indexed="8"/>
      <name val="Times New Roman"/>
      <family val="1"/>
    </font>
    <font>
      <sz val="10"/>
      <color indexed="12"/>
      <name val="Times New Roman"/>
      <family val="1"/>
    </font>
    <font>
      <b/>
      <sz val="10"/>
      <color indexed="8"/>
      <name val="Times New Roman"/>
      <family val="1"/>
    </font>
    <font>
      <b/>
      <sz val="9"/>
      <name val="Times New Roman"/>
      <family val="1"/>
    </font>
    <font>
      <b/>
      <sz val="10"/>
      <color indexed="18"/>
      <name val="Times New Roman"/>
      <family val="1"/>
    </font>
    <font>
      <sz val="10"/>
      <color theme="9" tint="-0.499984740745262"/>
      <name val="Times New Roman"/>
      <family val="1"/>
    </font>
    <font>
      <b/>
      <sz val="10"/>
      <color theme="6" tint="-0.499984740745262"/>
      <name val="Times New Roman"/>
      <family val="1"/>
    </font>
    <font>
      <sz val="11"/>
      <color rgb="FFFF0000"/>
      <name val="Times New Roman"/>
      <family val="1"/>
    </font>
    <font>
      <sz val="10"/>
      <color indexed="8"/>
      <name val="Arial"/>
      <family val="2"/>
    </font>
    <font>
      <sz val="11"/>
      <color theme="1"/>
      <name val="Calibri"/>
      <family val="2"/>
    </font>
    <font>
      <i/>
      <sz val="11"/>
      <name val="Times New Roman"/>
      <family val="1"/>
    </font>
    <font>
      <b/>
      <sz val="10"/>
      <name val="Calibri"/>
      <family val="2"/>
    </font>
    <font>
      <b/>
      <sz val="11"/>
      <name val="Calibri"/>
      <family val="2"/>
    </font>
    <font>
      <sz val="11"/>
      <color indexed="8"/>
      <name val="Calibri"/>
      <family val="2"/>
    </font>
    <font>
      <b/>
      <u/>
      <sz val="14"/>
      <name val="Times New Roman"/>
      <family val="1"/>
    </font>
    <font>
      <b/>
      <u/>
      <sz val="11"/>
      <name val="Times New Roman"/>
      <family val="1"/>
    </font>
    <font>
      <i/>
      <sz val="10"/>
      <name val="Arial"/>
      <family val="2"/>
    </font>
    <font>
      <b/>
      <sz val="16"/>
      <name val="Times New Roman"/>
      <family val="1"/>
    </font>
    <font>
      <b/>
      <sz val="18"/>
      <name val="Times New Roman"/>
      <family val="1"/>
    </font>
    <font>
      <b/>
      <i/>
      <sz val="12"/>
      <name val="Times New Roman"/>
      <family val="1"/>
    </font>
    <font>
      <sz val="14"/>
      <name val="Times New Roman"/>
      <family val="1"/>
    </font>
    <font>
      <b/>
      <sz val="16"/>
      <name val="Calibri"/>
      <family val="2"/>
    </font>
    <font>
      <sz val="11"/>
      <name val="Arial"/>
      <family val="2"/>
    </font>
    <font>
      <b/>
      <u/>
      <sz val="16"/>
      <name val="Times New Roman"/>
      <family val="1"/>
    </font>
    <font>
      <sz val="12"/>
      <name val="Arial"/>
      <family val="2"/>
    </font>
    <font>
      <sz val="8"/>
      <name val="Arial"/>
      <family val="2"/>
    </font>
    <font>
      <sz val="11"/>
      <name val="Book Antiqua"/>
      <family val="1"/>
    </font>
    <font>
      <sz val="10"/>
      <name val="Book Antiqua"/>
      <family val="1"/>
    </font>
    <font>
      <sz val="11"/>
      <color rgb="FFC00000"/>
      <name val="Times New Roman"/>
      <family val="1"/>
    </font>
    <font>
      <b/>
      <sz val="12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D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F3"/>
        <bgColor indexed="64"/>
      </patternFill>
    </fill>
    <fill>
      <patternFill patternType="solid">
        <fgColor rgb="FFEBFFFF"/>
        <bgColor indexed="64"/>
      </patternFill>
    </fill>
    <fill>
      <patternFill patternType="solid">
        <fgColor theme="0" tint="-0.14999847407452621"/>
        <bgColor indexed="64"/>
      </patternFill>
    </fill>
  </fills>
  <borders count="9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6">
    <xf numFmtId="174" fontId="0" fillId="0" borderId="0"/>
    <xf numFmtId="44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32" fillId="0" borderId="0"/>
    <xf numFmtId="0" fontId="8" fillId="0" borderId="0"/>
    <xf numFmtId="0" fontId="8" fillId="0" borderId="0"/>
    <xf numFmtId="0" fontId="32" fillId="0" borderId="0"/>
    <xf numFmtId="0" fontId="7" fillId="0" borderId="0"/>
    <xf numFmtId="0" fontId="32" fillId="0" borderId="0"/>
    <xf numFmtId="0" fontId="8" fillId="0" borderId="0"/>
    <xf numFmtId="0" fontId="32" fillId="0" borderId="0"/>
    <xf numFmtId="174" fontId="8" fillId="0" borderId="0"/>
    <xf numFmtId="0" fontId="6" fillId="0" borderId="0"/>
    <xf numFmtId="0" fontId="33" fillId="0" borderId="0"/>
    <xf numFmtId="0" fontId="16" fillId="0" borderId="0"/>
    <xf numFmtId="0" fontId="5" fillId="0" borderId="0"/>
    <xf numFmtId="9" fontId="37" fillId="0" borderId="0" applyFont="0" applyFill="0" applyBorder="0" applyAlignment="0" applyProtection="0"/>
    <xf numFmtId="0" fontId="5" fillId="0" borderId="0"/>
    <xf numFmtId="174" fontId="8" fillId="0" borderId="0"/>
    <xf numFmtId="166" fontId="8" fillId="0" borderId="0"/>
    <xf numFmtId="9" fontId="8" fillId="0" borderId="0" applyFont="0" applyFill="0" applyBorder="0" applyAlignment="0" applyProtection="0"/>
    <xf numFmtId="0" fontId="4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1" fillId="0" borderId="0"/>
  </cellStyleXfs>
  <cellXfs count="719">
    <xf numFmtId="174" fontId="0" fillId="0" borderId="0" xfId="0"/>
    <xf numFmtId="9" fontId="21" fillId="0" borderId="0" xfId="4" applyFont="1" applyBorder="1" applyAlignment="1" applyProtection="1">
      <alignment horizontal="center" vertical="center" wrapText="1"/>
    </xf>
    <xf numFmtId="4" fontId="22" fillId="3" borderId="6" xfId="1" applyNumberFormat="1" applyFont="1" applyFill="1" applyBorder="1" applyAlignment="1" applyProtection="1">
      <alignment vertical="center"/>
    </xf>
    <xf numFmtId="10" fontId="25" fillId="0" borderId="0" xfId="4" applyNumberFormat="1" applyFont="1" applyFill="1" applyBorder="1" applyAlignment="1" applyProtection="1">
      <alignment vertical="center"/>
    </xf>
    <xf numFmtId="9" fontId="25" fillId="3" borderId="3" xfId="4" applyFont="1" applyFill="1" applyBorder="1" applyAlignment="1" applyProtection="1">
      <alignment vertical="center"/>
    </xf>
    <xf numFmtId="4" fontId="36" fillId="9" borderId="19" xfId="20" applyNumberFormat="1" applyFont="1" applyFill="1" applyBorder="1" applyAlignment="1">
      <alignment vertical="center"/>
    </xf>
    <xf numFmtId="10" fontId="16" fillId="0" borderId="0" xfId="22" applyNumberFormat="1" applyFont="1" applyAlignment="1">
      <alignment vertical="center"/>
    </xf>
    <xf numFmtId="0" fontId="16" fillId="0" borderId="0" xfId="10" applyFont="1" applyAlignment="1">
      <alignment vertical="center"/>
    </xf>
    <xf numFmtId="0" fontId="16" fillId="0" borderId="0" xfId="10" applyFont="1" applyAlignment="1">
      <alignment horizontal="justify" vertical="center"/>
    </xf>
    <xf numFmtId="0" fontId="16" fillId="0" borderId="1" xfId="10" applyFont="1" applyBorder="1" applyAlignment="1">
      <alignment vertical="center" wrapText="1"/>
    </xf>
    <xf numFmtId="0" fontId="12" fillId="0" borderId="2" xfId="10" applyFont="1" applyBorder="1" applyAlignment="1">
      <alignment vertical="center" wrapText="1"/>
    </xf>
    <xf numFmtId="0" fontId="16" fillId="0" borderId="39" xfId="10" applyFont="1" applyBorder="1" applyAlignment="1">
      <alignment vertical="center" wrapText="1"/>
    </xf>
    <xf numFmtId="0" fontId="16" fillId="0" borderId="37" xfId="10" applyFont="1" applyBorder="1" applyAlignment="1">
      <alignment vertical="center" wrapText="1"/>
    </xf>
    <xf numFmtId="0" fontId="12" fillId="0" borderId="38" xfId="10" applyFont="1" applyBorder="1" applyAlignment="1">
      <alignment vertical="center" wrapText="1"/>
    </xf>
    <xf numFmtId="0" fontId="16" fillId="0" borderId="37" xfId="10" applyFont="1" applyBorder="1" applyAlignment="1">
      <alignment horizontal="justify" vertical="center" wrapText="1"/>
    </xf>
    <xf numFmtId="0" fontId="12" fillId="0" borderId="0" xfId="10" applyFont="1" applyAlignment="1">
      <alignment vertical="center"/>
    </xf>
    <xf numFmtId="10" fontId="16" fillId="0" borderId="0" xfId="26" applyNumberFormat="1" applyFont="1" applyAlignment="1" applyProtection="1">
      <alignment vertical="center"/>
    </xf>
    <xf numFmtId="0" fontId="16" fillId="0" borderId="0" xfId="10" quotePrefix="1" applyFont="1" applyAlignment="1">
      <alignment vertical="center"/>
    </xf>
    <xf numFmtId="0" fontId="16" fillId="0" borderId="0" xfId="10" applyFont="1" applyAlignment="1">
      <alignment horizontal="center" vertical="center"/>
    </xf>
    <xf numFmtId="0" fontId="0" fillId="0" borderId="0" xfId="10" applyFont="1" applyAlignment="1">
      <alignment vertical="center"/>
    </xf>
    <xf numFmtId="9" fontId="16" fillId="0" borderId="0" xfId="26" applyFont="1" applyAlignment="1" applyProtection="1">
      <alignment vertical="center"/>
    </xf>
    <xf numFmtId="10" fontId="16" fillId="0" borderId="0" xfId="26" applyNumberFormat="1" applyFont="1" applyAlignment="1" applyProtection="1">
      <alignment horizontal="center" vertical="center"/>
    </xf>
    <xf numFmtId="10" fontId="16" fillId="0" borderId="0" xfId="10" applyNumberFormat="1" applyFont="1" applyAlignment="1">
      <alignment horizontal="center" vertical="center"/>
    </xf>
    <xf numFmtId="170" fontId="16" fillId="12" borderId="0" xfId="0" applyNumberFormat="1" applyFont="1" applyFill="1" applyAlignment="1" applyProtection="1">
      <alignment horizontal="center" vertical="center"/>
      <protection locked="0"/>
    </xf>
    <xf numFmtId="0" fontId="16" fillId="0" borderId="18" xfId="10" applyFont="1" applyBorder="1" applyAlignment="1">
      <alignment vertical="center" wrapText="1"/>
    </xf>
    <xf numFmtId="10" fontId="11" fillId="8" borderId="10" xfId="4" applyNumberFormat="1" applyFont="1" applyFill="1" applyBorder="1" applyAlignment="1" applyProtection="1">
      <alignment horizontal="center" vertical="center"/>
    </xf>
    <xf numFmtId="10" fontId="18" fillId="0" borderId="0" xfId="4" applyNumberFormat="1" applyFont="1" applyAlignment="1" applyProtection="1">
      <alignment horizontal="center" vertical="center"/>
    </xf>
    <xf numFmtId="10" fontId="12" fillId="0" borderId="73" xfId="4" applyNumberFormat="1" applyFont="1" applyBorder="1" applyAlignment="1" applyProtection="1">
      <alignment horizontal="center" vertical="center"/>
    </xf>
    <xf numFmtId="10" fontId="18" fillId="0" borderId="0" xfId="4" applyNumberFormat="1" applyFont="1" applyFill="1" applyAlignment="1" applyProtection="1">
      <alignment vertical="center"/>
    </xf>
    <xf numFmtId="10" fontId="18" fillId="0" borderId="0" xfId="4" applyNumberFormat="1" applyFont="1" applyFill="1" applyBorder="1" applyAlignment="1" applyProtection="1">
      <alignment horizontal="center" vertical="center"/>
    </xf>
    <xf numFmtId="165" fontId="18" fillId="0" borderId="0" xfId="2" applyNumberFormat="1" applyFont="1" applyFill="1" applyBorder="1" applyAlignment="1" applyProtection="1">
      <alignment horizontal="center" vertical="center"/>
    </xf>
    <xf numFmtId="164" fontId="18" fillId="0" borderId="0" xfId="2" applyNumberFormat="1" applyFont="1" applyFill="1" applyBorder="1" applyAlignment="1" applyProtection="1">
      <alignment horizontal="center" vertical="center"/>
    </xf>
    <xf numFmtId="43" fontId="18" fillId="0" borderId="10" xfId="2" applyNumberFormat="1" applyFont="1" applyFill="1" applyBorder="1" applyAlignment="1" applyProtection="1">
      <alignment horizontal="center" vertical="center"/>
    </xf>
    <xf numFmtId="43" fontId="18" fillId="0" borderId="47" xfId="4" applyNumberFormat="1" applyFont="1" applyFill="1" applyBorder="1" applyAlignment="1" applyProtection="1">
      <alignment horizontal="center" vertical="center"/>
    </xf>
    <xf numFmtId="171" fontId="11" fillId="14" borderId="12" xfId="4" applyNumberFormat="1" applyFont="1" applyFill="1" applyBorder="1" applyAlignment="1" applyProtection="1">
      <alignment horizontal="center" vertical="center"/>
    </xf>
    <xf numFmtId="171" fontId="11" fillId="14" borderId="10" xfId="4" applyNumberFormat="1" applyFont="1" applyFill="1" applyBorder="1" applyAlignment="1" applyProtection="1">
      <alignment horizontal="center" vertical="center"/>
    </xf>
    <xf numFmtId="171" fontId="11" fillId="14" borderId="16" xfId="4" applyNumberFormat="1" applyFont="1" applyFill="1" applyBorder="1" applyAlignment="1" applyProtection="1">
      <alignment horizontal="center" vertical="center"/>
    </xf>
    <xf numFmtId="170" fontId="16" fillId="12" borderId="0" xfId="24" applyNumberFormat="1" applyFont="1" applyFill="1" applyAlignment="1" applyProtection="1">
      <alignment horizontal="center" vertical="center"/>
      <protection locked="0"/>
    </xf>
    <xf numFmtId="4" fontId="36" fillId="9" borderId="0" xfId="20" applyNumberFormat="1" applyFont="1" applyFill="1" applyAlignment="1">
      <alignment vertical="center"/>
    </xf>
    <xf numFmtId="49" fontId="36" fillId="9" borderId="0" xfId="20" applyNumberFormat="1" applyFont="1" applyFill="1" applyAlignment="1">
      <alignment vertical="center"/>
    </xf>
    <xf numFmtId="0" fontId="2" fillId="9" borderId="0" xfId="33" applyFill="1" applyAlignment="1">
      <alignment vertical="center"/>
    </xf>
    <xf numFmtId="49" fontId="35" fillId="9" borderId="0" xfId="20" applyNumberFormat="1" applyFont="1" applyFill="1" applyAlignment="1">
      <alignment vertical="center"/>
    </xf>
    <xf numFmtId="4" fontId="35" fillId="9" borderId="0" xfId="20" applyNumberFormat="1" applyFont="1" applyFill="1" applyAlignment="1">
      <alignment horizontal="center" vertical="center"/>
    </xf>
    <xf numFmtId="0" fontId="16" fillId="0" borderId="3" xfId="33" applyFont="1" applyBorder="1" applyAlignment="1">
      <alignment horizontal="center"/>
    </xf>
    <xf numFmtId="0" fontId="16" fillId="0" borderId="3" xfId="33" applyFont="1" applyBorder="1"/>
    <xf numFmtId="0" fontId="16" fillId="0" borderId="0" xfId="33" applyFont="1"/>
    <xf numFmtId="0" fontId="16" fillId="0" borderId="0" xfId="33" applyFont="1" applyAlignment="1">
      <alignment horizontal="center"/>
    </xf>
    <xf numFmtId="0" fontId="12" fillId="0" borderId="0" xfId="33" applyFont="1" applyAlignment="1">
      <alignment horizontal="left" vertical="center"/>
    </xf>
    <xf numFmtId="0" fontId="16" fillId="0" borderId="0" xfId="33" applyFont="1" applyAlignment="1">
      <alignment vertical="center"/>
    </xf>
    <xf numFmtId="10" fontId="11" fillId="3" borderId="33" xfId="22" applyNumberFormat="1" applyFont="1" applyFill="1" applyBorder="1" applyAlignment="1">
      <alignment horizontal="center" vertical="center"/>
    </xf>
    <xf numFmtId="0" fontId="16" fillId="0" borderId="0" xfId="33" applyFont="1" applyAlignment="1">
      <alignment horizontal="center" vertical="center"/>
    </xf>
    <xf numFmtId="0" fontId="16" fillId="5" borderId="19" xfId="33" applyFont="1" applyFill="1" applyBorder="1" applyAlignment="1">
      <alignment horizontal="center"/>
    </xf>
    <xf numFmtId="0" fontId="16" fillId="5" borderId="19" xfId="33" applyFont="1" applyFill="1" applyBorder="1"/>
    <xf numFmtId="0" fontId="12" fillId="5" borderId="0" xfId="33" applyFont="1" applyFill="1" applyAlignment="1">
      <alignment horizontal="left"/>
    </xf>
    <xf numFmtId="0" fontId="16" fillId="5" borderId="0" xfId="33" applyFont="1" applyFill="1"/>
    <xf numFmtId="0" fontId="16" fillId="5" borderId="0" xfId="33" applyFont="1" applyFill="1" applyAlignment="1">
      <alignment horizontal="center"/>
    </xf>
    <xf numFmtId="0" fontId="16" fillId="5" borderId="0" xfId="33" applyFont="1" applyFill="1" applyAlignment="1">
      <alignment horizontal="left"/>
    </xf>
    <xf numFmtId="0" fontId="11" fillId="3" borderId="50" xfId="33" applyFont="1" applyFill="1" applyBorder="1" applyAlignment="1">
      <alignment horizontal="center" vertical="center"/>
    </xf>
    <xf numFmtId="171" fontId="11" fillId="11" borderId="33" xfId="22" applyNumberFormat="1" applyFont="1" applyFill="1" applyBorder="1" applyAlignment="1" applyProtection="1">
      <alignment horizontal="center" vertical="center"/>
      <protection locked="0"/>
    </xf>
    <xf numFmtId="0" fontId="11" fillId="3" borderId="50" xfId="34" applyFont="1" applyFill="1" applyBorder="1" applyAlignment="1">
      <alignment horizontal="center" vertical="center"/>
    </xf>
    <xf numFmtId="171" fontId="11" fillId="3" borderId="33" xfId="22" applyNumberFormat="1" applyFont="1" applyFill="1" applyBorder="1" applyAlignment="1">
      <alignment horizontal="center" vertical="center"/>
    </xf>
    <xf numFmtId="0" fontId="18" fillId="0" borderId="18" xfId="34" applyFont="1" applyBorder="1" applyAlignment="1">
      <alignment horizontal="center" vertical="center"/>
    </xf>
    <xf numFmtId="171" fontId="18" fillId="11" borderId="86" xfId="22" applyNumberFormat="1" applyFont="1" applyFill="1" applyBorder="1" applyAlignment="1" applyProtection="1">
      <alignment horizontal="center" vertical="center"/>
      <protection locked="0"/>
    </xf>
    <xf numFmtId="0" fontId="18" fillId="0" borderId="2" xfId="34" applyFont="1" applyBorder="1" applyAlignment="1">
      <alignment horizontal="center" vertical="center"/>
    </xf>
    <xf numFmtId="171" fontId="18" fillId="11" borderId="84" xfId="22" applyNumberFormat="1" applyFont="1" applyFill="1" applyBorder="1" applyAlignment="1" applyProtection="1">
      <alignment horizontal="center" vertical="center"/>
      <protection locked="0"/>
    </xf>
    <xf numFmtId="0" fontId="18" fillId="0" borderId="1" xfId="34" applyFont="1" applyBorder="1" applyAlignment="1">
      <alignment horizontal="center" vertical="center"/>
    </xf>
    <xf numFmtId="174" fontId="18" fillId="0" borderId="83" xfId="3" applyNumberFormat="1" applyFont="1" applyFill="1" applyBorder="1" applyAlignment="1" applyProtection="1">
      <alignment horizontal="center" vertical="center"/>
    </xf>
    <xf numFmtId="0" fontId="16" fillId="5" borderId="0" xfId="21" applyFont="1" applyFill="1"/>
    <xf numFmtId="166" fontId="18" fillId="0" borderId="0" xfId="3" applyFont="1" applyFill="1" applyAlignment="1" applyProtection="1">
      <alignment vertical="center"/>
    </xf>
    <xf numFmtId="166" fontId="18" fillId="0" borderId="0" xfId="3" applyFont="1" applyFill="1" applyAlignment="1" applyProtection="1">
      <alignment horizontal="left" vertical="center"/>
    </xf>
    <xf numFmtId="174" fontId="18" fillId="0" borderId="0" xfId="3" applyNumberFormat="1" applyFont="1" applyFill="1" applyAlignment="1" applyProtection="1">
      <alignment horizontal="center" vertical="center"/>
    </xf>
    <xf numFmtId="166" fontId="15" fillId="0" borderId="0" xfId="3" applyFont="1" applyFill="1" applyAlignment="1" applyProtection="1">
      <alignment vertical="center"/>
    </xf>
    <xf numFmtId="166" fontId="15" fillId="0" borderId="0" xfId="3" applyFont="1" applyFill="1" applyAlignment="1" applyProtection="1">
      <alignment horizontal="left" vertical="center"/>
    </xf>
    <xf numFmtId="10" fontId="11" fillId="8" borderId="16" xfId="4" applyNumberFormat="1" applyFont="1" applyFill="1" applyBorder="1" applyAlignment="1" applyProtection="1">
      <alignment horizontal="center" vertical="center"/>
    </xf>
    <xf numFmtId="10" fontId="11" fillId="8" borderId="12" xfId="4" applyNumberFormat="1" applyFont="1" applyFill="1" applyBorder="1" applyAlignment="1" applyProtection="1">
      <alignment horizontal="center" vertical="center"/>
    </xf>
    <xf numFmtId="1" fontId="18" fillId="0" borderId="0" xfId="4" applyNumberFormat="1" applyFont="1" applyAlignment="1" applyProtection="1">
      <alignment horizontal="center" vertical="center"/>
    </xf>
    <xf numFmtId="164" fontId="50" fillId="0" borderId="0" xfId="4" applyNumberFormat="1" applyFont="1" applyAlignment="1" applyProtection="1">
      <alignment horizontal="center" vertical="center"/>
    </xf>
    <xf numFmtId="10" fontId="50" fillId="0" borderId="0" xfId="4" applyNumberFormat="1" applyFont="1" applyAlignment="1" applyProtection="1">
      <alignment horizontal="center" vertical="center"/>
    </xf>
    <xf numFmtId="164" fontId="16" fillId="0" borderId="0" xfId="10" applyNumberFormat="1" applyFont="1" applyAlignment="1">
      <alignment horizontal="center" vertical="center"/>
    </xf>
    <xf numFmtId="174" fontId="11" fillId="6" borderId="39" xfId="3" applyNumberFormat="1" applyFont="1" applyFill="1" applyBorder="1" applyAlignment="1" applyProtection="1">
      <alignment horizontal="center" vertical="center"/>
    </xf>
    <xf numFmtId="174" fontId="18" fillId="0" borderId="84" xfId="3" applyNumberFormat="1" applyFont="1" applyFill="1" applyBorder="1" applyAlignment="1" applyProtection="1">
      <alignment horizontal="center" vertical="center"/>
    </xf>
    <xf numFmtId="10" fontId="16" fillId="7" borderId="37" xfId="26" applyNumberFormat="1" applyFont="1" applyFill="1" applyBorder="1" applyAlignment="1" applyProtection="1">
      <alignment horizontal="center" vertical="center" wrapText="1"/>
      <protection locked="0"/>
    </xf>
    <xf numFmtId="10" fontId="12" fillId="0" borderId="38" xfId="10" applyNumberFormat="1" applyFont="1" applyBorder="1" applyAlignment="1">
      <alignment horizontal="center" vertical="center" wrapText="1"/>
    </xf>
    <xf numFmtId="10" fontId="16" fillId="7" borderId="39" xfId="26" applyNumberFormat="1" applyFont="1" applyFill="1" applyBorder="1" applyAlignment="1" applyProtection="1">
      <alignment horizontal="center" vertical="center" wrapText="1"/>
      <protection locked="0"/>
    </xf>
    <xf numFmtId="10" fontId="12" fillId="0" borderId="38" xfId="26" applyNumberFormat="1" applyFont="1" applyBorder="1" applyAlignment="1" applyProtection="1">
      <alignment horizontal="center" vertical="center" wrapText="1"/>
    </xf>
    <xf numFmtId="10" fontId="16" fillId="0" borderId="39" xfId="26" applyNumberFormat="1" applyFont="1" applyFill="1" applyBorder="1" applyAlignment="1" applyProtection="1">
      <alignment horizontal="center" vertical="center" wrapText="1"/>
    </xf>
    <xf numFmtId="10" fontId="16" fillId="0" borderId="37" xfId="26" applyNumberFormat="1" applyFont="1" applyFill="1" applyBorder="1" applyAlignment="1" applyProtection="1">
      <alignment horizontal="center" vertical="center" wrapText="1"/>
    </xf>
    <xf numFmtId="10" fontId="12" fillId="3" borderId="38" xfId="10" applyNumberFormat="1" applyFont="1" applyFill="1" applyBorder="1" applyAlignment="1">
      <alignment horizontal="center" vertical="center" wrapText="1"/>
    </xf>
    <xf numFmtId="0" fontId="11" fillId="3" borderId="84" xfId="10" applyFont="1" applyFill="1" applyBorder="1" applyAlignment="1">
      <alignment horizontal="center" vertical="center" wrapText="1"/>
    </xf>
    <xf numFmtId="171" fontId="10" fillId="0" borderId="10" xfId="4" applyNumberFormat="1" applyFont="1" applyFill="1" applyBorder="1" applyAlignment="1" applyProtection="1">
      <alignment horizontal="center" vertical="center"/>
    </xf>
    <xf numFmtId="171" fontId="43" fillId="0" borderId="29" xfId="4" applyNumberFormat="1" applyFont="1" applyFill="1" applyBorder="1" applyAlignment="1" applyProtection="1">
      <alignment horizontal="center" vertical="center"/>
    </xf>
    <xf numFmtId="171" fontId="43" fillId="0" borderId="45" xfId="2" applyNumberFormat="1" applyFont="1" applyFill="1" applyBorder="1" applyAlignment="1" applyProtection="1">
      <alignment horizontal="center" vertical="center"/>
    </xf>
    <xf numFmtId="171" fontId="43" fillId="0" borderId="44" xfId="4" applyNumberFormat="1" applyFont="1" applyFill="1" applyBorder="1" applyAlignment="1" applyProtection="1">
      <alignment horizontal="center" vertical="center"/>
    </xf>
    <xf numFmtId="10" fontId="43" fillId="0" borderId="42" xfId="4" applyNumberFormat="1" applyFont="1" applyFill="1" applyBorder="1" applyAlignment="1" applyProtection="1">
      <alignment horizontal="center" vertical="center"/>
    </xf>
    <xf numFmtId="43" fontId="18" fillId="8" borderId="10" xfId="2" applyNumberFormat="1" applyFont="1" applyFill="1" applyBorder="1" applyAlignment="1" applyProtection="1">
      <alignment horizontal="center" vertical="center"/>
    </xf>
    <xf numFmtId="171" fontId="43" fillId="8" borderId="29" xfId="4" applyNumberFormat="1" applyFont="1" applyFill="1" applyBorder="1" applyAlignment="1" applyProtection="1">
      <alignment horizontal="center" vertical="center"/>
    </xf>
    <xf numFmtId="171" fontId="43" fillId="8" borderId="45" xfId="2" applyNumberFormat="1" applyFont="1" applyFill="1" applyBorder="1" applyAlignment="1" applyProtection="1">
      <alignment horizontal="center" vertical="center"/>
    </xf>
    <xf numFmtId="0" fontId="10" fillId="3" borderId="33" xfId="33" applyFont="1" applyFill="1" applyBorder="1" applyAlignment="1">
      <alignment horizontal="center" vertical="center" wrapText="1"/>
    </xf>
    <xf numFmtId="10" fontId="12" fillId="0" borderId="91" xfId="4" applyNumberFormat="1" applyFont="1" applyBorder="1" applyAlignment="1" applyProtection="1">
      <alignment horizontal="center" vertical="center"/>
    </xf>
    <xf numFmtId="10" fontId="11" fillId="8" borderId="13" xfId="4" applyNumberFormat="1" applyFont="1" applyFill="1" applyBorder="1" applyAlignment="1" applyProtection="1">
      <alignment horizontal="center" vertical="center"/>
    </xf>
    <xf numFmtId="10" fontId="11" fillId="8" borderId="14" xfId="4" applyNumberFormat="1" applyFont="1" applyFill="1" applyBorder="1" applyAlignment="1" applyProtection="1">
      <alignment horizontal="center" vertical="center"/>
    </xf>
    <xf numFmtId="10" fontId="11" fillId="8" borderId="25" xfId="4" applyNumberFormat="1" applyFont="1" applyFill="1" applyBorder="1" applyAlignment="1" applyProtection="1">
      <alignment horizontal="center" vertical="center"/>
    </xf>
    <xf numFmtId="171" fontId="10" fillId="8" borderId="10" xfId="4" applyNumberFormat="1" applyFont="1" applyFill="1" applyBorder="1" applyAlignment="1" applyProtection="1">
      <alignment horizontal="center" vertical="center"/>
    </xf>
    <xf numFmtId="171" fontId="43" fillId="8" borderId="46" xfId="4" applyNumberFormat="1" applyFont="1" applyFill="1" applyBorder="1" applyAlignment="1" applyProtection="1">
      <alignment horizontal="center" vertical="center"/>
    </xf>
    <xf numFmtId="171" fontId="43" fillId="8" borderId="44" xfId="2" applyNumberFormat="1" applyFont="1" applyFill="1" applyBorder="1" applyAlignment="1" applyProtection="1">
      <alignment horizontal="center" vertical="center"/>
    </xf>
    <xf numFmtId="174" fontId="18" fillId="0" borderId="84" xfId="6" applyNumberFormat="1" applyFont="1" applyFill="1" applyBorder="1" applyAlignment="1" applyProtection="1">
      <alignment horizontal="center" vertical="center"/>
    </xf>
    <xf numFmtId="9" fontId="40" fillId="0" borderId="0" xfId="4" applyFont="1" applyAlignment="1" applyProtection="1">
      <alignment horizontal="center"/>
    </xf>
    <xf numFmtId="166" fontId="11" fillId="4" borderId="53" xfId="3" applyFont="1" applyFill="1" applyBorder="1" applyAlignment="1" applyProtection="1">
      <alignment horizontal="left" vertical="center"/>
    </xf>
    <xf numFmtId="166" fontId="11" fillId="4" borderId="15" xfId="3" applyFont="1" applyFill="1" applyBorder="1" applyAlignment="1" applyProtection="1">
      <alignment horizontal="center" vertical="center"/>
    </xf>
    <xf numFmtId="166" fontId="18" fillId="7" borderId="23" xfId="3" applyFont="1" applyFill="1" applyBorder="1" applyAlignment="1" applyProtection="1">
      <alignment vertical="center"/>
      <protection locked="0"/>
    </xf>
    <xf numFmtId="166" fontId="18" fillId="7" borderId="16" xfId="3" applyFont="1" applyFill="1" applyBorder="1" applyAlignment="1" applyProtection="1">
      <alignment vertical="center"/>
      <protection locked="0"/>
    </xf>
    <xf numFmtId="166" fontId="18" fillId="0" borderId="0" xfId="0" applyNumberFormat="1" applyFont="1" applyAlignment="1">
      <alignment horizontal="center" vertical="center"/>
    </xf>
    <xf numFmtId="2" fontId="18" fillId="0" borderId="0" xfId="0" applyNumberFormat="1" applyFont="1" applyAlignment="1">
      <alignment horizontal="center" vertical="center"/>
    </xf>
    <xf numFmtId="1" fontId="18" fillId="0" borderId="0" xfId="0" applyNumberFormat="1" applyFont="1" applyAlignment="1">
      <alignment horizontal="center" vertical="center"/>
    </xf>
    <xf numFmtId="172" fontId="50" fillId="0" borderId="0" xfId="0" applyNumberFormat="1" applyFont="1" applyAlignment="1">
      <alignment horizontal="center" vertical="center"/>
    </xf>
    <xf numFmtId="174" fontId="0" fillId="0" borderId="0" xfId="0" applyAlignment="1">
      <alignment vertical="center"/>
    </xf>
    <xf numFmtId="174" fontId="18" fillId="0" borderId="0" xfId="0" applyFont="1" applyAlignment="1">
      <alignment vertical="center"/>
    </xf>
    <xf numFmtId="174" fontId="18" fillId="0" borderId="1" xfId="0" applyFont="1" applyBorder="1" applyAlignment="1">
      <alignment vertical="top"/>
    </xf>
    <xf numFmtId="174" fontId="18" fillId="0" borderId="0" xfId="0" applyFont="1" applyAlignment="1">
      <alignment vertical="top"/>
    </xf>
    <xf numFmtId="174" fontId="18" fillId="0" borderId="7" xfId="0" applyFont="1" applyBorder="1" applyAlignment="1">
      <alignment vertical="top"/>
    </xf>
    <xf numFmtId="174" fontId="18" fillId="0" borderId="1" xfId="0" applyFont="1" applyBorder="1" applyAlignment="1">
      <alignment horizontal="center" vertical="center"/>
    </xf>
    <xf numFmtId="174" fontId="18" fillId="0" borderId="0" xfId="0" applyFont="1" applyAlignment="1">
      <alignment horizontal="justify" vertical="center"/>
    </xf>
    <xf numFmtId="174" fontId="18" fillId="0" borderId="0" xfId="0" applyFont="1" applyAlignment="1">
      <alignment horizontal="center" vertical="center"/>
    </xf>
    <xf numFmtId="4" fontId="18" fillId="0" borderId="0" xfId="0" applyNumberFormat="1" applyFont="1" applyAlignment="1">
      <alignment horizontal="center" vertical="center"/>
    </xf>
    <xf numFmtId="171" fontId="18" fillId="0" borderId="7" xfId="0" applyNumberFormat="1" applyFont="1" applyBorder="1" applyAlignment="1">
      <alignment vertical="center"/>
    </xf>
    <xf numFmtId="174" fontId="11" fillId="0" borderId="0" xfId="0" applyFont="1" applyAlignment="1">
      <alignment horizontal="center" vertical="center"/>
    </xf>
    <xf numFmtId="174" fontId="18" fillId="0" borderId="2" xfId="0" applyFont="1" applyBorder="1" applyAlignment="1">
      <alignment horizontal="center" vertical="center"/>
    </xf>
    <xf numFmtId="174" fontId="18" fillId="0" borderId="3" xfId="0" applyFont="1" applyBorder="1" applyAlignment="1">
      <alignment horizontal="justify" vertical="center"/>
    </xf>
    <xf numFmtId="174" fontId="18" fillId="0" borderId="3" xfId="0" applyFont="1" applyBorder="1" applyAlignment="1">
      <alignment horizontal="center" vertical="center"/>
    </xf>
    <xf numFmtId="4" fontId="18" fillId="0" borderId="3" xfId="0" applyNumberFormat="1" applyFont="1" applyBorder="1" applyAlignment="1">
      <alignment horizontal="center" vertical="center"/>
    </xf>
    <xf numFmtId="167" fontId="18" fillId="0" borderId="3" xfId="0" applyNumberFormat="1" applyFont="1" applyBorder="1" applyAlignment="1">
      <alignment vertical="center"/>
    </xf>
    <xf numFmtId="171" fontId="18" fillId="0" borderId="8" xfId="0" applyNumberFormat="1" applyFont="1" applyBorder="1" applyAlignment="1">
      <alignment horizontal="center" vertical="center"/>
    </xf>
    <xf numFmtId="2" fontId="50" fillId="0" borderId="0" xfId="0" applyNumberFormat="1" applyFont="1" applyAlignment="1">
      <alignment horizontal="center" vertical="center"/>
    </xf>
    <xf numFmtId="169" fontId="18" fillId="0" borderId="19" xfId="0" applyNumberFormat="1" applyFont="1" applyBorder="1" applyAlignment="1">
      <alignment vertical="center"/>
    </xf>
    <xf numFmtId="169" fontId="18" fillId="0" borderId="3" xfId="0" applyNumberFormat="1" applyFont="1" applyBorder="1" applyAlignment="1">
      <alignment vertical="center"/>
    </xf>
    <xf numFmtId="4" fontId="11" fillId="14" borderId="5" xfId="0" applyNumberFormat="1" applyFont="1" applyFill="1" applyBorder="1" applyAlignment="1">
      <alignment horizontal="center" vertical="center"/>
    </xf>
    <xf numFmtId="167" fontId="11" fillId="14" borderId="28" xfId="0" applyNumberFormat="1" applyFont="1" applyFill="1" applyBorder="1" applyAlignment="1">
      <alignment horizontal="center" vertical="center"/>
    </xf>
    <xf numFmtId="4" fontId="11" fillId="14" borderId="4" xfId="0" applyNumberFormat="1" applyFont="1" applyFill="1" applyBorder="1" applyAlignment="1">
      <alignment horizontal="center" vertical="center"/>
    </xf>
    <xf numFmtId="4" fontId="11" fillId="14" borderId="6" xfId="0" applyNumberFormat="1" applyFont="1" applyFill="1" applyBorder="1" applyAlignment="1">
      <alignment horizontal="center" vertical="center"/>
    </xf>
    <xf numFmtId="167" fontId="11" fillId="14" borderId="5" xfId="0" applyNumberFormat="1" applyFont="1" applyFill="1" applyBorder="1" applyAlignment="1">
      <alignment horizontal="center" vertical="center"/>
    </xf>
    <xf numFmtId="166" fontId="11" fillId="0" borderId="0" xfId="0" applyNumberFormat="1" applyFont="1" applyAlignment="1">
      <alignment horizontal="center" vertical="center"/>
    </xf>
    <xf numFmtId="4" fontId="11" fillId="14" borderId="14" xfId="0" applyNumberFormat="1" applyFont="1" applyFill="1" applyBorder="1" applyAlignment="1">
      <alignment horizontal="center" vertical="center"/>
    </xf>
    <xf numFmtId="167" fontId="11" fillId="14" borderId="32" xfId="0" applyNumberFormat="1" applyFont="1" applyFill="1" applyBorder="1" applyAlignment="1">
      <alignment horizontal="center" vertical="center"/>
    </xf>
    <xf numFmtId="4" fontId="11" fillId="14" borderId="13" xfId="0" applyNumberFormat="1" applyFont="1" applyFill="1" applyBorder="1" applyAlignment="1">
      <alignment horizontal="center" vertical="center"/>
    </xf>
    <xf numFmtId="4" fontId="11" fillId="14" borderId="25" xfId="0" applyNumberFormat="1" applyFont="1" applyFill="1" applyBorder="1" applyAlignment="1">
      <alignment horizontal="center" vertical="center"/>
    </xf>
    <xf numFmtId="167" fontId="11" fillId="14" borderId="14" xfId="0" applyNumberFormat="1" applyFont="1" applyFill="1" applyBorder="1" applyAlignment="1">
      <alignment horizontal="center" vertical="center"/>
    </xf>
    <xf numFmtId="174" fontId="11" fillId="0" borderId="0" xfId="0" applyFont="1" applyAlignment="1">
      <alignment horizontal="justify" vertical="center"/>
    </xf>
    <xf numFmtId="4" fontId="11" fillId="0" borderId="0" xfId="0" applyNumberFormat="1" applyFont="1" applyAlignment="1">
      <alignment horizontal="center" vertical="center"/>
    </xf>
    <xf numFmtId="167" fontId="11" fillId="0" borderId="0" xfId="0" applyNumberFormat="1" applyFont="1" applyAlignment="1">
      <alignment horizontal="center" vertical="center"/>
    </xf>
    <xf numFmtId="171" fontId="11" fillId="0" borderId="0" xfId="0" applyNumberFormat="1" applyFont="1" applyAlignment="1">
      <alignment horizontal="center" vertical="center"/>
    </xf>
    <xf numFmtId="174" fontId="18" fillId="0" borderId="22" xfId="24" applyFont="1" applyBorder="1" applyAlignment="1">
      <alignment horizontal="center" vertical="center"/>
    </xf>
    <xf numFmtId="174" fontId="18" fillId="0" borderId="51" xfId="24" applyFont="1" applyBorder="1" applyAlignment="1">
      <alignment vertical="center"/>
    </xf>
    <xf numFmtId="4" fontId="18" fillId="0" borderId="36" xfId="24" applyNumberFormat="1" applyFont="1" applyBorder="1" applyAlignment="1">
      <alignment horizontal="center" vertical="center"/>
    </xf>
    <xf numFmtId="4" fontId="18" fillId="0" borderId="36" xfId="5" applyNumberFormat="1" applyFont="1" applyBorder="1" applyAlignment="1" applyProtection="1">
      <alignment horizontal="center" vertical="center"/>
    </xf>
    <xf numFmtId="167" fontId="18" fillId="0" borderId="51" xfId="5" applyNumberFormat="1" applyFont="1" applyBorder="1" applyAlignment="1" applyProtection="1">
      <alignment horizontal="center" vertical="center"/>
    </xf>
    <xf numFmtId="4" fontId="18" fillId="0" borderId="22" xfId="5" applyNumberFormat="1" applyFont="1" applyFill="1" applyBorder="1" applyAlignment="1" applyProtection="1">
      <alignment horizontal="center" vertical="center"/>
    </xf>
    <xf numFmtId="4" fontId="18" fillId="0" borderId="36" xfId="5" applyNumberFormat="1" applyFont="1" applyFill="1" applyBorder="1" applyAlignment="1" applyProtection="1">
      <alignment horizontal="center" vertical="center"/>
    </xf>
    <xf numFmtId="4" fontId="18" fillId="0" borderId="51" xfId="5" applyNumberFormat="1" applyFont="1" applyFill="1" applyBorder="1" applyAlignment="1" applyProtection="1">
      <alignment horizontal="center" vertical="center"/>
    </xf>
    <xf numFmtId="167" fontId="18" fillId="0" borderId="22" xfId="24" applyNumberFormat="1" applyFont="1" applyBorder="1" applyAlignment="1">
      <alignment horizontal="right" vertical="center"/>
    </xf>
    <xf numFmtId="171" fontId="18" fillId="0" borderId="23" xfId="24" applyNumberFormat="1" applyFont="1" applyBorder="1" applyAlignment="1">
      <alignment horizontal="center" vertical="center"/>
    </xf>
    <xf numFmtId="174" fontId="18" fillId="0" borderId="0" xfId="24" applyFont="1" applyAlignment="1">
      <alignment vertical="center"/>
    </xf>
    <xf numFmtId="174" fontId="18" fillId="0" borderId="13" xfId="24" applyFont="1" applyBorder="1" applyAlignment="1">
      <alignment horizontal="center" vertical="center"/>
    </xf>
    <xf numFmtId="174" fontId="18" fillId="0" borderId="14" xfId="0" applyFont="1" applyBorder="1" applyAlignment="1">
      <alignment horizontal="left" vertical="center" wrapText="1"/>
    </xf>
    <xf numFmtId="4" fontId="18" fillId="0" borderId="14" xfId="24" applyNumberFormat="1" applyFont="1" applyBorder="1" applyAlignment="1">
      <alignment horizontal="center" vertical="center"/>
    </xf>
    <xf numFmtId="4" fontId="18" fillId="0" borderId="14" xfId="5" applyNumberFormat="1" applyFont="1" applyBorder="1" applyAlignment="1" applyProtection="1">
      <alignment horizontal="center" vertical="center"/>
    </xf>
    <xf numFmtId="167" fontId="18" fillId="0" borderId="32" xfId="5" applyNumberFormat="1" applyFont="1" applyBorder="1" applyAlignment="1" applyProtection="1">
      <alignment horizontal="center" vertical="center"/>
    </xf>
    <xf numFmtId="4" fontId="18" fillId="0" borderId="23" xfId="5" applyNumberFormat="1" applyFont="1" applyFill="1" applyBorder="1" applyAlignment="1" applyProtection="1">
      <alignment horizontal="center" vertical="center"/>
    </xf>
    <xf numFmtId="169" fontId="18" fillId="0" borderId="0" xfId="0" applyNumberFormat="1" applyFont="1" applyAlignment="1">
      <alignment vertical="center"/>
    </xf>
    <xf numFmtId="4" fontId="31" fillId="5" borderId="0" xfId="0" applyNumberFormat="1" applyFont="1" applyFill="1" applyAlignment="1">
      <alignment horizontal="center" vertical="center"/>
    </xf>
    <xf numFmtId="167" fontId="18" fillId="0" borderId="0" xfId="0" applyNumberFormat="1" applyFont="1" applyAlignment="1">
      <alignment horizontal="right" vertical="center"/>
    </xf>
    <xf numFmtId="171" fontId="18" fillId="0" borderId="0" xfId="0" applyNumberFormat="1" applyFont="1" applyAlignment="1">
      <alignment horizontal="center" vertical="center"/>
    </xf>
    <xf numFmtId="174" fontId="18" fillId="0" borderId="10" xfId="24" applyFont="1" applyBorder="1" applyAlignment="1">
      <alignment horizontal="center" vertical="center"/>
    </xf>
    <xf numFmtId="174" fontId="18" fillId="0" borderId="10" xfId="0" applyFont="1" applyBorder="1" applyAlignment="1">
      <alignment horizontal="justify" vertical="center" wrapText="1"/>
    </xf>
    <xf numFmtId="4" fontId="18" fillId="0" borderId="10" xfId="24" applyNumberFormat="1" applyFont="1" applyBorder="1" applyAlignment="1">
      <alignment horizontal="center" vertical="center"/>
    </xf>
    <xf numFmtId="4" fontId="18" fillId="0" borderId="10" xfId="5" applyNumberFormat="1" applyFont="1" applyBorder="1" applyAlignment="1" applyProtection="1">
      <alignment horizontal="center" vertical="center"/>
    </xf>
    <xf numFmtId="167" fontId="18" fillId="0" borderId="29" xfId="5" applyNumberFormat="1" applyFont="1" applyBorder="1" applyAlignment="1" applyProtection="1">
      <alignment horizontal="center" vertical="center"/>
    </xf>
    <xf numFmtId="167" fontId="18" fillId="0" borderId="11" xfId="24" applyNumberFormat="1" applyFont="1" applyBorder="1" applyAlignment="1">
      <alignment horizontal="right" vertical="center"/>
    </xf>
    <xf numFmtId="171" fontId="18" fillId="0" borderId="24" xfId="24" applyNumberFormat="1" applyFont="1" applyBorder="1" applyAlignment="1">
      <alignment horizontal="center" vertical="center"/>
    </xf>
    <xf numFmtId="169" fontId="18" fillId="0" borderId="34" xfId="0" applyNumberFormat="1" applyFont="1" applyBorder="1" applyAlignment="1">
      <alignment horizontal="center" vertical="center"/>
    </xf>
    <xf numFmtId="174" fontId="18" fillId="0" borderId="34" xfId="0" applyFont="1" applyBorder="1" applyAlignment="1">
      <alignment horizontal="justify" vertical="center"/>
    </xf>
    <xf numFmtId="174" fontId="18" fillId="0" borderId="34" xfId="0" applyFont="1" applyBorder="1" applyAlignment="1">
      <alignment horizontal="center" vertical="center"/>
    </xf>
    <xf numFmtId="4" fontId="31" fillId="5" borderId="34" xfId="0" applyNumberFormat="1" applyFont="1" applyFill="1" applyBorder="1" applyAlignment="1">
      <alignment horizontal="center" vertical="center"/>
    </xf>
    <xf numFmtId="167" fontId="18" fillId="0" borderId="34" xfId="0" applyNumberFormat="1" applyFont="1" applyBorder="1" applyAlignment="1">
      <alignment horizontal="right" vertical="center"/>
    </xf>
    <xf numFmtId="4" fontId="18" fillId="0" borderId="34" xfId="0" applyNumberFormat="1" applyFont="1" applyBorder="1" applyAlignment="1">
      <alignment horizontal="center" vertical="center"/>
    </xf>
    <xf numFmtId="167" fontId="18" fillId="0" borderId="34" xfId="0" applyNumberFormat="1" applyFont="1" applyBorder="1" applyAlignment="1">
      <alignment vertical="center"/>
    </xf>
    <xf numFmtId="171" fontId="18" fillId="0" borderId="34" xfId="0" applyNumberFormat="1" applyFont="1" applyBorder="1" applyAlignment="1">
      <alignment horizontal="center" vertical="center"/>
    </xf>
    <xf numFmtId="169" fontId="18" fillId="0" borderId="12" xfId="24" applyNumberFormat="1" applyFont="1" applyBorder="1" applyAlignment="1">
      <alignment horizontal="center" vertical="center"/>
    </xf>
    <xf numFmtId="174" fontId="18" fillId="5" borderId="41" xfId="24" applyFont="1" applyFill="1" applyBorder="1" applyAlignment="1">
      <alignment horizontal="justify" vertical="center" wrapText="1"/>
    </xf>
    <xf numFmtId="4" fontId="18" fillId="0" borderId="17" xfId="24" applyNumberFormat="1" applyFont="1" applyBorder="1" applyAlignment="1">
      <alignment horizontal="center" vertical="center" wrapText="1"/>
    </xf>
    <xf numFmtId="4" fontId="18" fillId="5" borderId="17" xfId="5" applyNumberFormat="1" applyFont="1" applyFill="1" applyBorder="1" applyAlignment="1" applyProtection="1">
      <alignment horizontal="center" vertical="center"/>
    </xf>
    <xf numFmtId="4" fontId="18" fillId="0" borderId="11" xfId="5" applyNumberFormat="1" applyFont="1" applyFill="1" applyBorder="1" applyAlignment="1" applyProtection="1">
      <alignment horizontal="center" vertical="center"/>
    </xf>
    <xf numFmtId="4" fontId="18" fillId="0" borderId="10" xfId="5" applyNumberFormat="1" applyFont="1" applyFill="1" applyBorder="1" applyAlignment="1" applyProtection="1">
      <alignment horizontal="center" vertical="center"/>
    </xf>
    <xf numFmtId="4" fontId="18" fillId="0" borderId="16" xfId="5" applyNumberFormat="1" applyFont="1" applyFill="1" applyBorder="1" applyAlignment="1" applyProtection="1">
      <alignment horizontal="center" vertical="center"/>
    </xf>
    <xf numFmtId="167" fontId="18" fillId="0" borderId="12" xfId="24" applyNumberFormat="1" applyFont="1" applyBorder="1" applyAlignment="1">
      <alignment horizontal="right" vertical="center"/>
    </xf>
    <xf numFmtId="171" fontId="18" fillId="0" borderId="31" xfId="24" applyNumberFormat="1" applyFont="1" applyBorder="1" applyAlignment="1">
      <alignment horizontal="center" vertical="center"/>
    </xf>
    <xf numFmtId="171" fontId="18" fillId="0" borderId="16" xfId="24" applyNumberFormat="1" applyFont="1" applyBorder="1" applyAlignment="1">
      <alignment horizontal="center" vertical="center"/>
    </xf>
    <xf numFmtId="169" fontId="18" fillId="0" borderId="11" xfId="24" applyNumberFormat="1" applyFont="1" applyBorder="1" applyAlignment="1">
      <alignment horizontal="center" vertical="center"/>
    </xf>
    <xf numFmtId="167" fontId="18" fillId="0" borderId="41" xfId="5" applyNumberFormat="1" applyFont="1" applyBorder="1" applyAlignment="1" applyProtection="1">
      <alignment horizontal="center" vertical="center"/>
    </xf>
    <xf numFmtId="4" fontId="18" fillId="0" borderId="17" xfId="5" applyNumberFormat="1" applyFont="1" applyFill="1" applyBorder="1" applyAlignment="1" applyProtection="1">
      <alignment horizontal="center" vertical="center"/>
    </xf>
    <xf numFmtId="4" fontId="18" fillId="0" borderId="24" xfId="5" applyNumberFormat="1" applyFont="1" applyFill="1" applyBorder="1" applyAlignment="1" applyProtection="1">
      <alignment horizontal="center" vertical="center"/>
    </xf>
    <xf numFmtId="174" fontId="51" fillId="0" borderId="0" xfId="0" applyFont="1" applyAlignment="1">
      <alignment horizontal="center"/>
    </xf>
    <xf numFmtId="44" fontId="11" fillId="6" borderId="33" xfId="1" applyFont="1" applyFill="1" applyBorder="1" applyAlignment="1" applyProtection="1">
      <alignment horizontal="right" vertical="center"/>
    </xf>
    <xf numFmtId="10" fontId="11" fillId="6" borderId="33" xfId="0" applyNumberFormat="1" applyFont="1" applyFill="1" applyBorder="1" applyAlignment="1">
      <alignment horizontal="center" vertical="center"/>
    </xf>
    <xf numFmtId="175" fontId="18" fillId="0" borderId="1" xfId="0" applyNumberFormat="1" applyFont="1" applyBorder="1" applyAlignment="1">
      <alignment horizontal="center" vertical="center"/>
    </xf>
    <xf numFmtId="44" fontId="11" fillId="8" borderId="33" xfId="1" applyFont="1" applyFill="1" applyBorder="1" applyAlignment="1" applyProtection="1">
      <alignment horizontal="right" vertical="center"/>
    </xf>
    <xf numFmtId="10" fontId="11" fillId="8" borderId="33" xfId="0" applyNumberFormat="1" applyFont="1" applyFill="1" applyBorder="1" applyAlignment="1">
      <alignment horizontal="center" vertical="center"/>
    </xf>
    <xf numFmtId="166" fontId="18" fillId="0" borderId="1" xfId="0" applyNumberFormat="1" applyFont="1" applyBorder="1" applyAlignment="1">
      <alignment horizontal="center" vertical="center"/>
    </xf>
    <xf numFmtId="164" fontId="18" fillId="0" borderId="0" xfId="0" applyNumberFormat="1" applyFont="1" applyAlignment="1">
      <alignment horizontal="center" vertical="center"/>
    </xf>
    <xf numFmtId="167" fontId="18" fillId="0" borderId="0" xfId="0" applyNumberFormat="1" applyFont="1" applyAlignment="1">
      <alignment vertical="center"/>
    </xf>
    <xf numFmtId="4" fontId="11" fillId="6" borderId="4" xfId="0" applyNumberFormat="1" applyFont="1" applyFill="1" applyBorder="1" applyAlignment="1">
      <alignment horizontal="center" vertical="center"/>
    </xf>
    <xf numFmtId="4" fontId="11" fillId="6" borderId="5" xfId="0" applyNumberFormat="1" applyFont="1" applyFill="1" applyBorder="1" applyAlignment="1">
      <alignment horizontal="center" vertical="center"/>
    </xf>
    <xf numFmtId="4" fontId="11" fillId="6" borderId="6" xfId="0" applyNumberFormat="1" applyFont="1" applyFill="1" applyBorder="1" applyAlignment="1">
      <alignment horizontal="center" vertical="center"/>
    </xf>
    <xf numFmtId="167" fontId="11" fillId="6" borderId="5" xfId="0" applyNumberFormat="1" applyFont="1" applyFill="1" applyBorder="1" applyAlignment="1">
      <alignment horizontal="center" vertical="center"/>
    </xf>
    <xf numFmtId="4" fontId="11" fillId="6" borderId="30" xfId="0" applyNumberFormat="1" applyFont="1" applyFill="1" applyBorder="1" applyAlignment="1">
      <alignment horizontal="center" vertical="center"/>
    </xf>
    <xf numFmtId="4" fontId="11" fillId="6" borderId="27" xfId="0" applyNumberFormat="1" applyFont="1" applyFill="1" applyBorder="1" applyAlignment="1">
      <alignment horizontal="center" vertical="center"/>
    </xf>
    <xf numFmtId="4" fontId="11" fillId="6" borderId="31" xfId="0" applyNumberFormat="1" applyFont="1" applyFill="1" applyBorder="1" applyAlignment="1">
      <alignment horizontal="center" vertical="center"/>
    </xf>
    <xf numFmtId="167" fontId="11" fillId="6" borderId="27" xfId="0" applyNumberFormat="1" applyFont="1" applyFill="1" applyBorder="1" applyAlignment="1">
      <alignment horizontal="center" vertical="center"/>
    </xf>
    <xf numFmtId="4" fontId="11" fillId="8" borderId="4" xfId="0" applyNumberFormat="1" applyFont="1" applyFill="1" applyBorder="1" applyAlignment="1">
      <alignment horizontal="center" vertical="center"/>
    </xf>
    <xf numFmtId="4" fontId="11" fillId="8" borderId="5" xfId="0" applyNumberFormat="1" applyFont="1" applyFill="1" applyBorder="1" applyAlignment="1">
      <alignment horizontal="center" vertical="center"/>
    </xf>
    <xf numFmtId="4" fontId="11" fillId="8" borderId="6" xfId="0" applyNumberFormat="1" applyFont="1" applyFill="1" applyBorder="1" applyAlignment="1">
      <alignment horizontal="center" vertical="center"/>
    </xf>
    <xf numFmtId="10" fontId="18" fillId="0" borderId="0" xfId="0" applyNumberFormat="1" applyFont="1" applyAlignment="1">
      <alignment horizontal="center" vertical="center"/>
    </xf>
    <xf numFmtId="164" fontId="50" fillId="0" borderId="0" xfId="0" applyNumberFormat="1" applyFont="1" applyAlignment="1">
      <alignment horizontal="center" vertical="center"/>
    </xf>
    <xf numFmtId="4" fontId="11" fillId="8" borderId="11" xfId="0" applyNumberFormat="1" applyFont="1" applyFill="1" applyBorder="1" applyAlignment="1">
      <alignment horizontal="center" vertical="center"/>
    </xf>
    <xf numFmtId="4" fontId="11" fillId="8" borderId="17" xfId="0" applyNumberFormat="1" applyFont="1" applyFill="1" applyBorder="1" applyAlignment="1">
      <alignment horizontal="center" vertical="center"/>
    </xf>
    <xf numFmtId="4" fontId="11" fillId="8" borderId="24" xfId="0" applyNumberFormat="1" applyFont="1" applyFill="1" applyBorder="1" applyAlignment="1">
      <alignment horizontal="center" vertical="center"/>
    </xf>
    <xf numFmtId="4" fontId="11" fillId="5" borderId="12" xfId="0" applyNumberFormat="1" applyFont="1" applyFill="1" applyBorder="1" applyAlignment="1">
      <alignment horizontal="center" vertical="center"/>
    </xf>
    <xf numFmtId="4" fontId="11" fillId="5" borderId="10" xfId="0" applyNumberFormat="1" applyFont="1" applyFill="1" applyBorder="1" applyAlignment="1">
      <alignment horizontal="center" vertical="center"/>
    </xf>
    <xf numFmtId="4" fontId="11" fillId="5" borderId="16" xfId="0" applyNumberFormat="1" applyFont="1" applyFill="1" applyBorder="1" applyAlignment="1">
      <alignment horizontal="center" vertical="center"/>
    </xf>
    <xf numFmtId="10" fontId="11" fillId="5" borderId="12" xfId="0" applyNumberFormat="1" applyFont="1" applyFill="1" applyBorder="1" applyAlignment="1">
      <alignment horizontal="center" vertical="center"/>
    </xf>
    <xf numFmtId="10" fontId="11" fillId="5" borderId="10" xfId="0" applyNumberFormat="1" applyFont="1" applyFill="1" applyBorder="1" applyAlignment="1">
      <alignment horizontal="center" vertical="center"/>
    </xf>
    <xf numFmtId="10" fontId="11" fillId="5" borderId="16" xfId="0" applyNumberFormat="1" applyFont="1" applyFill="1" applyBorder="1" applyAlignment="1">
      <alignment horizontal="center" vertical="center"/>
    </xf>
    <xf numFmtId="4" fontId="11" fillId="8" borderId="12" xfId="0" applyNumberFormat="1" applyFont="1" applyFill="1" applyBorder="1" applyAlignment="1">
      <alignment horizontal="center" vertical="center"/>
    </xf>
    <xf numFmtId="4" fontId="11" fillId="8" borderId="10" xfId="0" applyNumberFormat="1" applyFont="1" applyFill="1" applyBorder="1" applyAlignment="1">
      <alignment horizontal="center" vertical="center"/>
    </xf>
    <xf numFmtId="4" fontId="11" fillId="8" borderId="16" xfId="0" applyNumberFormat="1" applyFont="1" applyFill="1" applyBorder="1" applyAlignment="1">
      <alignment horizontal="center" vertical="center"/>
    </xf>
    <xf numFmtId="10" fontId="11" fillId="8" borderId="12" xfId="0" applyNumberFormat="1" applyFont="1" applyFill="1" applyBorder="1" applyAlignment="1">
      <alignment horizontal="center" vertical="center"/>
    </xf>
    <xf numFmtId="10" fontId="11" fillId="8" borderId="10" xfId="0" applyNumberFormat="1" applyFont="1" applyFill="1" applyBorder="1" applyAlignment="1">
      <alignment horizontal="center" vertical="center"/>
    </xf>
    <xf numFmtId="10" fontId="11" fillId="8" borderId="16" xfId="0" applyNumberFormat="1" applyFont="1" applyFill="1" applyBorder="1" applyAlignment="1">
      <alignment horizontal="center" vertical="center"/>
    </xf>
    <xf numFmtId="4" fontId="11" fillId="0" borderId="12" xfId="0" applyNumberFormat="1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center" vertical="center"/>
    </xf>
    <xf numFmtId="4" fontId="11" fillId="0" borderId="16" xfId="0" applyNumberFormat="1" applyFont="1" applyBorder="1" applyAlignment="1">
      <alignment horizontal="center" vertical="center"/>
    </xf>
    <xf numFmtId="10" fontId="11" fillId="0" borderId="12" xfId="0" applyNumberFormat="1" applyFont="1" applyBorder="1" applyAlignment="1">
      <alignment horizontal="center" vertical="center"/>
    </xf>
    <xf numFmtId="10" fontId="11" fillId="0" borderId="10" xfId="0" applyNumberFormat="1" applyFont="1" applyBorder="1" applyAlignment="1">
      <alignment horizontal="center" vertical="center"/>
    </xf>
    <xf numFmtId="10" fontId="11" fillId="0" borderId="16" xfId="0" applyNumberFormat="1" applyFont="1" applyBorder="1" applyAlignment="1">
      <alignment horizontal="center" vertical="center"/>
    </xf>
    <xf numFmtId="4" fontId="16" fillId="0" borderId="0" xfId="0" applyNumberFormat="1" applyFont="1" applyAlignment="1">
      <alignment vertical="center"/>
    </xf>
    <xf numFmtId="4" fontId="16" fillId="0" borderId="0" xfId="0" applyNumberFormat="1" applyFont="1" applyAlignment="1">
      <alignment horizontal="center" vertical="center"/>
    </xf>
    <xf numFmtId="4" fontId="13" fillId="0" borderId="0" xfId="0" applyNumberFormat="1" applyFont="1" applyAlignment="1">
      <alignment vertical="center"/>
    </xf>
    <xf numFmtId="4" fontId="13" fillId="0" borderId="0" xfId="0" applyNumberFormat="1" applyFont="1" applyAlignment="1">
      <alignment horizontal="center" vertical="center"/>
    </xf>
    <xf numFmtId="4" fontId="10" fillId="0" borderId="0" xfId="0" applyNumberFormat="1" applyFont="1" applyAlignment="1">
      <alignment horizontal="center" vertical="center"/>
    </xf>
    <xf numFmtId="4" fontId="0" fillId="0" borderId="0" xfId="0" applyNumberFormat="1"/>
    <xf numFmtId="174" fontId="0" fillId="0" borderId="0" xfId="0" applyAlignment="1">
      <alignment horizontal="center"/>
    </xf>
    <xf numFmtId="174" fontId="11" fillId="8" borderId="42" xfId="0" applyFont="1" applyFill="1" applyBorder="1" applyAlignment="1">
      <alignment horizontal="center" vertical="center"/>
    </xf>
    <xf numFmtId="174" fontId="11" fillId="8" borderId="43" xfId="0" applyFont="1" applyFill="1" applyBorder="1" applyAlignment="1">
      <alignment horizontal="center" vertical="center"/>
    </xf>
    <xf numFmtId="174" fontId="11" fillId="8" borderId="44" xfId="0" applyFont="1" applyFill="1" applyBorder="1" applyAlignment="1">
      <alignment horizontal="center" vertical="center"/>
    </xf>
    <xf numFmtId="174" fontId="8" fillId="0" borderId="0" xfId="0" applyFont="1" applyAlignment="1">
      <alignment horizontal="center"/>
    </xf>
    <xf numFmtId="10" fontId="0" fillId="0" borderId="0" xfId="4" applyNumberFormat="1" applyFont="1" applyAlignment="1" applyProtection="1">
      <alignment horizontal="center"/>
    </xf>
    <xf numFmtId="4" fontId="40" fillId="0" borderId="0" xfId="0" applyNumberFormat="1" applyFont="1"/>
    <xf numFmtId="174" fontId="40" fillId="0" borderId="0" xfId="0" applyFont="1"/>
    <xf numFmtId="174" fontId="40" fillId="0" borderId="0" xfId="0" applyFont="1" applyAlignment="1">
      <alignment horizontal="center"/>
    </xf>
    <xf numFmtId="174" fontId="18" fillId="0" borderId="0" xfId="0" applyFont="1" applyAlignment="1">
      <alignment horizontal="center" vertical="center" wrapText="1"/>
    </xf>
    <xf numFmtId="174" fontId="34" fillId="0" borderId="0" xfId="0" applyFont="1" applyAlignment="1">
      <alignment horizontal="center" vertical="center" wrapText="1"/>
    </xf>
    <xf numFmtId="174" fontId="18" fillId="0" borderId="0" xfId="0" applyFont="1" applyAlignment="1">
      <alignment horizontal="left" vertical="center" wrapText="1"/>
    </xf>
    <xf numFmtId="174" fontId="11" fillId="0" borderId="0" xfId="0" applyFont="1" applyAlignment="1">
      <alignment vertical="center"/>
    </xf>
    <xf numFmtId="174" fontId="10" fillId="0" borderId="0" xfId="0" applyFont="1" applyAlignment="1">
      <alignment horizontal="right" vertical="center"/>
    </xf>
    <xf numFmtId="174" fontId="15" fillId="0" borderId="48" xfId="0" applyFont="1" applyBorder="1" applyAlignment="1">
      <alignment horizontal="center" vertical="center"/>
    </xf>
    <xf numFmtId="174" fontId="15" fillId="0" borderId="49" xfId="0" applyFont="1" applyBorder="1" applyAlignment="1">
      <alignment horizontal="center" vertical="center"/>
    </xf>
    <xf numFmtId="43" fontId="18" fillId="0" borderId="10" xfId="0" applyNumberFormat="1" applyFont="1" applyBorder="1" applyAlignment="1">
      <alignment horizontal="center" vertical="center"/>
    </xf>
    <xf numFmtId="43" fontId="18" fillId="0" borderId="29" xfId="0" applyNumberFormat="1" applyFont="1" applyBorder="1" applyAlignment="1">
      <alignment horizontal="center" vertical="center"/>
    </xf>
    <xf numFmtId="43" fontId="18" fillId="0" borderId="45" xfId="0" applyNumberFormat="1" applyFont="1" applyBorder="1" applyAlignment="1">
      <alignment horizontal="center" vertical="center"/>
    </xf>
    <xf numFmtId="174" fontId="15" fillId="0" borderId="42" xfId="0" applyFont="1" applyBorder="1" applyAlignment="1">
      <alignment horizontal="center" vertical="center"/>
    </xf>
    <xf numFmtId="43" fontId="18" fillId="0" borderId="43" xfId="0" applyNumberFormat="1" applyFont="1" applyBorder="1" applyAlignment="1">
      <alignment vertical="center"/>
    </xf>
    <xf numFmtId="43" fontId="18" fillId="0" borderId="43" xfId="0" applyNumberFormat="1" applyFont="1" applyBorder="1" applyAlignment="1">
      <alignment horizontal="center" vertical="center"/>
    </xf>
    <xf numFmtId="43" fontId="18" fillId="0" borderId="46" xfId="0" applyNumberFormat="1" applyFont="1" applyBorder="1" applyAlignment="1">
      <alignment vertical="center"/>
    </xf>
    <xf numFmtId="43" fontId="18" fillId="0" borderId="44" xfId="0" applyNumberFormat="1" applyFont="1" applyBorder="1" applyAlignment="1">
      <alignment vertical="center"/>
    </xf>
    <xf numFmtId="174" fontId="12" fillId="0" borderId="0" xfId="0" applyFont="1" applyAlignment="1">
      <alignment horizontal="center" vertical="center"/>
    </xf>
    <xf numFmtId="174" fontId="16" fillId="0" borderId="0" xfId="0" applyFont="1" applyAlignment="1">
      <alignment horizontal="center" vertical="center"/>
    </xf>
    <xf numFmtId="174" fontId="14" fillId="0" borderId="0" xfId="0" applyFont="1" applyAlignment="1">
      <alignment vertical="center"/>
    </xf>
    <xf numFmtId="174" fontId="16" fillId="0" borderId="0" xfId="0" applyFont="1" applyAlignment="1">
      <alignment vertical="center"/>
    </xf>
    <xf numFmtId="174" fontId="16" fillId="0" borderId="0" xfId="0" applyFont="1"/>
    <xf numFmtId="174" fontId="16" fillId="0" borderId="0" xfId="0" applyFont="1" applyAlignment="1">
      <alignment horizontal="center"/>
    </xf>
    <xf numFmtId="174" fontId="17" fillId="0" borderId="0" xfId="0" applyFont="1" applyAlignment="1">
      <alignment horizontal="center" vertical="center"/>
    </xf>
    <xf numFmtId="174" fontId="19" fillId="0" borderId="0" xfId="0" applyFont="1" applyAlignment="1">
      <alignment horizontal="center" vertical="center"/>
    </xf>
    <xf numFmtId="174" fontId="28" fillId="0" borderId="0" xfId="0" applyFont="1" applyAlignment="1">
      <alignment horizontal="center" vertical="center"/>
    </xf>
    <xf numFmtId="174" fontId="13" fillId="0" borderId="0" xfId="0" applyFont="1" applyAlignment="1">
      <alignment horizontal="center" vertical="center"/>
    </xf>
    <xf numFmtId="169" fontId="11" fillId="0" borderId="0" xfId="0" applyNumberFormat="1" applyFont="1" applyAlignment="1">
      <alignment horizontal="justify" vertical="center" wrapText="1"/>
    </xf>
    <xf numFmtId="3" fontId="10" fillId="0" borderId="1" xfId="0" applyNumberFormat="1" applyFont="1" applyBorder="1" applyAlignment="1">
      <alignment horizontal="center" vertical="center"/>
    </xf>
    <xf numFmtId="174" fontId="20" fillId="0" borderId="0" xfId="0" quotePrefix="1" applyFont="1" applyAlignment="1">
      <alignment horizontal="left" vertical="center"/>
    </xf>
    <xf numFmtId="168" fontId="16" fillId="0" borderId="0" xfId="0" applyNumberFormat="1" applyFont="1" applyAlignment="1">
      <alignment vertical="center"/>
    </xf>
    <xf numFmtId="166" fontId="16" fillId="0" borderId="0" xfId="0" applyNumberFormat="1" applyFont="1" applyAlignment="1">
      <alignment horizontal="center" vertical="center" wrapText="1"/>
    </xf>
    <xf numFmtId="4" fontId="12" fillId="0" borderId="7" xfId="0" applyNumberFormat="1" applyFont="1" applyBorder="1" applyAlignment="1">
      <alignment horizontal="center" vertical="center"/>
    </xf>
    <xf numFmtId="4" fontId="12" fillId="0" borderId="0" xfId="0" applyNumberFormat="1" applyFont="1" applyAlignment="1">
      <alignment horizontal="center" vertical="center"/>
    </xf>
    <xf numFmtId="4" fontId="10" fillId="2" borderId="0" xfId="0" applyNumberFormat="1" applyFont="1" applyFill="1" applyAlignment="1">
      <alignment vertical="center" wrapText="1"/>
    </xf>
    <xf numFmtId="2" fontId="16" fillId="0" borderId="0" xfId="0" applyNumberFormat="1" applyFont="1" applyAlignment="1">
      <alignment vertical="center"/>
    </xf>
    <xf numFmtId="14" fontId="16" fillId="2" borderId="0" xfId="0" applyNumberFormat="1" applyFont="1" applyFill="1" applyAlignment="1">
      <alignment horizontal="center" vertical="center"/>
    </xf>
    <xf numFmtId="4" fontId="16" fillId="2" borderId="0" xfId="0" applyNumberFormat="1" applyFont="1" applyFill="1" applyAlignment="1">
      <alignment horizontal="center" vertical="center"/>
    </xf>
    <xf numFmtId="3" fontId="10" fillId="0" borderId="0" xfId="24" applyNumberFormat="1" applyFont="1" applyAlignment="1">
      <alignment horizontal="center" vertical="center"/>
    </xf>
    <xf numFmtId="174" fontId="20" fillId="0" borderId="0" xfId="24" quotePrefix="1" applyFont="1" applyAlignment="1">
      <alignment horizontal="left" vertical="center"/>
    </xf>
    <xf numFmtId="168" fontId="16" fillId="0" borderId="0" xfId="24" applyNumberFormat="1" applyFont="1" applyAlignment="1">
      <alignment vertical="center"/>
    </xf>
    <xf numFmtId="174" fontId="16" fillId="0" borderId="0" xfId="24" applyFont="1" applyAlignment="1">
      <alignment horizontal="center" vertical="center"/>
    </xf>
    <xf numFmtId="166" fontId="16" fillId="0" borderId="0" xfId="24" applyNumberFormat="1" applyFont="1" applyAlignment="1">
      <alignment horizontal="center" vertical="center" wrapText="1"/>
    </xf>
    <xf numFmtId="4" fontId="12" fillId="0" borderId="0" xfId="24" applyNumberFormat="1" applyFont="1" applyAlignment="1">
      <alignment horizontal="center" vertical="center"/>
    </xf>
    <xf numFmtId="4" fontId="16" fillId="0" borderId="0" xfId="24" applyNumberFormat="1" applyFont="1" applyAlignment="1">
      <alignment horizontal="center" vertical="center"/>
    </xf>
    <xf numFmtId="174" fontId="19" fillId="0" borderId="0" xfId="24" applyFont="1" applyAlignment="1">
      <alignment horizontal="center" vertical="center"/>
    </xf>
    <xf numFmtId="174" fontId="28" fillId="0" borderId="0" xfId="24" applyFont="1" applyAlignment="1">
      <alignment horizontal="center" vertical="center"/>
    </xf>
    <xf numFmtId="4" fontId="16" fillId="0" borderId="0" xfId="24" applyNumberFormat="1" applyFont="1" applyAlignment="1">
      <alignment vertical="center"/>
    </xf>
    <xf numFmtId="2" fontId="16" fillId="0" borderId="0" xfId="24" applyNumberFormat="1" applyFont="1" applyAlignment="1">
      <alignment vertical="center"/>
    </xf>
    <xf numFmtId="174" fontId="16" fillId="0" borderId="0" xfId="24" applyFont="1" applyAlignment="1">
      <alignment vertical="center"/>
    </xf>
    <xf numFmtId="3" fontId="10" fillId="3" borderId="4" xfId="24" applyNumberFormat="1" applyFont="1" applyFill="1" applyBorder="1" applyAlignment="1">
      <alignment horizontal="center" vertical="center" wrapText="1"/>
    </xf>
    <xf numFmtId="174" fontId="10" fillId="3" borderId="5" xfId="24" applyFont="1" applyFill="1" applyBorder="1" applyAlignment="1">
      <alignment horizontal="left" vertical="center" wrapText="1"/>
    </xf>
    <xf numFmtId="166" fontId="22" fillId="3" borderId="5" xfId="24" applyNumberFormat="1" applyFont="1" applyFill="1" applyBorder="1" applyAlignment="1">
      <alignment horizontal="center" vertical="center" wrapText="1"/>
    </xf>
    <xf numFmtId="4" fontId="22" fillId="3" borderId="0" xfId="1" applyNumberFormat="1" applyFont="1" applyFill="1" applyAlignment="1" applyProtection="1">
      <alignment horizontal="center" vertical="center"/>
    </xf>
    <xf numFmtId="4" fontId="23" fillId="0" borderId="0" xfId="0" applyNumberFormat="1" applyFont="1" applyAlignment="1">
      <alignment horizontal="center" vertical="center"/>
    </xf>
    <xf numFmtId="4" fontId="19" fillId="0" borderId="0" xfId="0" applyNumberFormat="1" applyFont="1" applyAlignment="1">
      <alignment horizontal="center" vertical="center"/>
    </xf>
    <xf numFmtId="4" fontId="30" fillId="0" borderId="0" xfId="0" applyNumberFormat="1" applyFont="1" applyAlignment="1">
      <alignment horizontal="center" vertical="center"/>
    </xf>
    <xf numFmtId="172" fontId="28" fillId="0" borderId="0" xfId="0" applyNumberFormat="1" applyFont="1" applyAlignment="1">
      <alignment horizontal="center" vertical="center"/>
    </xf>
    <xf numFmtId="2" fontId="29" fillId="0" borderId="0" xfId="0" applyNumberFormat="1" applyFont="1" applyAlignment="1">
      <alignment horizontal="center" vertical="center"/>
    </xf>
    <xf numFmtId="4" fontId="29" fillId="0" borderId="0" xfId="0" applyNumberFormat="1" applyFont="1" applyAlignment="1">
      <alignment horizontal="center" vertical="center"/>
    </xf>
    <xf numFmtId="2" fontId="16" fillId="0" borderId="0" xfId="0" applyNumberFormat="1" applyFont="1" applyAlignment="1">
      <alignment horizontal="center" vertical="center"/>
    </xf>
    <xf numFmtId="3" fontId="12" fillId="0" borderId="1" xfId="24" applyNumberFormat="1" applyFont="1" applyBorder="1" applyAlignment="1">
      <alignment horizontal="center" vertical="center" wrapText="1"/>
    </xf>
    <xf numFmtId="174" fontId="12" fillId="0" borderId="0" xfId="24" applyFont="1" applyAlignment="1">
      <alignment horizontal="left" vertical="center" wrapText="1"/>
    </xf>
    <xf numFmtId="174" fontId="12" fillId="0" borderId="0" xfId="24" applyFont="1" applyAlignment="1">
      <alignment horizontal="center" vertical="center"/>
    </xf>
    <xf numFmtId="166" fontId="12" fillId="0" borderId="0" xfId="24" applyNumberFormat="1" applyFont="1" applyAlignment="1">
      <alignment horizontal="center" vertical="center" wrapText="1"/>
    </xf>
    <xf numFmtId="4" fontId="12" fillId="0" borderId="7" xfId="24" applyNumberFormat="1" applyFont="1" applyBorder="1" applyAlignment="1">
      <alignment horizontal="center" vertical="center"/>
    </xf>
    <xf numFmtId="4" fontId="16" fillId="3" borderId="0" xfId="0" applyNumberFormat="1" applyFont="1" applyFill="1" applyAlignment="1">
      <alignment horizontal="center" vertical="center"/>
    </xf>
    <xf numFmtId="3" fontId="16" fillId="0" borderId="1" xfId="24" applyNumberFormat="1" applyFont="1" applyBorder="1" applyAlignment="1">
      <alignment horizontal="center" vertical="center" wrapText="1"/>
    </xf>
    <xf numFmtId="174" fontId="16" fillId="0" borderId="0" xfId="24" applyFont="1" applyAlignment="1">
      <alignment horizontal="left" vertical="center" wrapText="1"/>
    </xf>
    <xf numFmtId="4" fontId="24" fillId="0" borderId="0" xfId="24" applyNumberFormat="1" applyFont="1" applyAlignment="1">
      <alignment horizontal="center" vertical="center"/>
    </xf>
    <xf numFmtId="166" fontId="24" fillId="13" borderId="0" xfId="24" applyNumberFormat="1" applyFont="1" applyFill="1" applyAlignment="1">
      <alignment horizontal="center" vertical="center" wrapText="1"/>
    </xf>
    <xf numFmtId="4" fontId="16" fillId="0" borderId="7" xfId="24" applyNumberFormat="1" applyFont="1" applyBorder="1" applyAlignment="1">
      <alignment horizontal="right" vertical="center"/>
    </xf>
    <xf numFmtId="4" fontId="16" fillId="0" borderId="0" xfId="0" applyNumberFormat="1" applyFont="1" applyAlignment="1">
      <alignment horizontal="left" vertical="center"/>
    </xf>
    <xf numFmtId="166" fontId="16" fillId="13" borderId="0" xfId="24" applyNumberFormat="1" applyFont="1" applyFill="1" applyAlignment="1">
      <alignment horizontal="center" vertical="center" wrapText="1"/>
    </xf>
    <xf numFmtId="4" fontId="24" fillId="0" borderId="0" xfId="24" quotePrefix="1" applyNumberFormat="1" applyFont="1" applyAlignment="1">
      <alignment horizontal="center" vertical="center"/>
    </xf>
    <xf numFmtId="9" fontId="25" fillId="0" borderId="0" xfId="0" quotePrefix="1" applyNumberFormat="1" applyFont="1" applyAlignment="1">
      <alignment horizontal="right" vertical="center" wrapText="1"/>
    </xf>
    <xf numFmtId="4" fontId="25" fillId="0" borderId="7" xfId="24" applyNumberFormat="1" applyFont="1" applyBorder="1" applyAlignment="1">
      <alignment vertical="center"/>
    </xf>
    <xf numFmtId="4" fontId="16" fillId="3" borderId="0" xfId="0" applyNumberFormat="1" applyFont="1" applyFill="1" applyAlignment="1">
      <alignment vertical="center"/>
    </xf>
    <xf numFmtId="0" fontId="18" fillId="0" borderId="0" xfId="0" applyNumberFormat="1" applyFont="1" applyAlignment="1">
      <alignment vertical="center"/>
    </xf>
    <xf numFmtId="174" fontId="16" fillId="0" borderId="0" xfId="24" applyFont="1" applyAlignment="1">
      <alignment horizontal="center" vertical="center" wrapText="1"/>
    </xf>
    <xf numFmtId="3" fontId="16" fillId="3" borderId="1" xfId="24" applyNumberFormat="1" applyFont="1" applyFill="1" applyBorder="1" applyAlignment="1">
      <alignment horizontal="center" vertical="center" wrapText="1"/>
    </xf>
    <xf numFmtId="9" fontId="25" fillId="3" borderId="0" xfId="24" applyNumberFormat="1" applyFont="1" applyFill="1" applyAlignment="1">
      <alignment horizontal="right" vertical="center" wrapText="1"/>
    </xf>
    <xf numFmtId="174" fontId="16" fillId="3" borderId="0" xfId="24" applyFont="1" applyFill="1" applyAlignment="1">
      <alignment vertical="center"/>
    </xf>
    <xf numFmtId="4" fontId="26" fillId="3" borderId="0" xfId="24" quotePrefix="1" applyNumberFormat="1" applyFont="1" applyFill="1" applyAlignment="1">
      <alignment horizontal="right" vertical="center"/>
    </xf>
    <xf numFmtId="166" fontId="26" fillId="3" borderId="0" xfId="24" applyNumberFormat="1" applyFont="1" applyFill="1" applyAlignment="1">
      <alignment horizontal="center" vertical="center" wrapText="1"/>
    </xf>
    <xf numFmtId="4" fontId="25" fillId="3" borderId="7" xfId="24" applyNumberFormat="1" applyFont="1" applyFill="1" applyBorder="1" applyAlignment="1">
      <alignment vertical="center"/>
    </xf>
    <xf numFmtId="3" fontId="16" fillId="0" borderId="1" xfId="0" applyNumberFormat="1" applyFont="1" applyBorder="1" applyAlignment="1">
      <alignment horizontal="center" vertical="center" wrapText="1"/>
    </xf>
    <xf numFmtId="174" fontId="16" fillId="0" borderId="0" xfId="0" applyFont="1" applyAlignment="1">
      <alignment horizontal="left" vertical="center" wrapText="1"/>
    </xf>
    <xf numFmtId="166" fontId="16" fillId="13" borderId="0" xfId="0" applyNumberFormat="1" applyFont="1" applyFill="1" applyAlignment="1">
      <alignment horizontal="center" vertical="center" wrapText="1"/>
    </xf>
    <xf numFmtId="9" fontId="25" fillId="3" borderId="0" xfId="0" applyNumberFormat="1" applyFont="1" applyFill="1" applyAlignment="1">
      <alignment horizontal="right" vertical="center" wrapText="1"/>
    </xf>
    <xf numFmtId="168" fontId="16" fillId="3" borderId="0" xfId="0" applyNumberFormat="1" applyFont="1" applyFill="1" applyAlignment="1">
      <alignment vertical="center"/>
    </xf>
    <xf numFmtId="174" fontId="16" fillId="3" borderId="0" xfId="24" applyFont="1" applyFill="1" applyAlignment="1">
      <alignment horizontal="center" vertical="center" wrapText="1"/>
    </xf>
    <xf numFmtId="166" fontId="16" fillId="3" borderId="0" xfId="24" applyNumberFormat="1" applyFont="1" applyFill="1" applyAlignment="1">
      <alignment horizontal="center" vertical="center" wrapText="1"/>
    </xf>
    <xf numFmtId="174" fontId="16" fillId="0" borderId="0" xfId="24" applyFont="1" applyAlignment="1">
      <alignment vertical="center" wrapText="1"/>
    </xf>
    <xf numFmtId="10" fontId="25" fillId="0" borderId="0" xfId="0" quotePrefix="1" applyNumberFormat="1" applyFont="1" applyAlignment="1">
      <alignment horizontal="right" vertical="center"/>
    </xf>
    <xf numFmtId="3" fontId="16" fillId="3" borderId="2" xfId="24" applyNumberFormat="1" applyFont="1" applyFill="1" applyBorder="1" applyAlignment="1">
      <alignment horizontal="center" vertical="center" wrapText="1"/>
    </xf>
    <xf numFmtId="9" fontId="25" fillId="3" borderId="3" xfId="0" applyNumberFormat="1" applyFont="1" applyFill="1" applyBorder="1" applyAlignment="1">
      <alignment horizontal="right" vertical="center" wrapText="1"/>
    </xf>
    <xf numFmtId="174" fontId="16" fillId="3" borderId="3" xfId="24" applyFont="1" applyFill="1" applyBorder="1" applyAlignment="1">
      <alignment horizontal="center" vertical="center"/>
    </xf>
    <xf numFmtId="166" fontId="16" fillId="3" borderId="3" xfId="24" applyNumberFormat="1" applyFont="1" applyFill="1" applyBorder="1" applyAlignment="1">
      <alignment horizontal="center" vertical="center" wrapText="1"/>
    </xf>
    <xf numFmtId="4" fontId="25" fillId="3" borderId="8" xfId="24" applyNumberFormat="1" applyFont="1" applyFill="1" applyBorder="1" applyAlignment="1">
      <alignment vertical="center"/>
    </xf>
    <xf numFmtId="3" fontId="10" fillId="0" borderId="0" xfId="0" applyNumberFormat="1" applyFont="1" applyAlignment="1">
      <alignment horizontal="center" vertical="center"/>
    </xf>
    <xf numFmtId="3" fontId="10" fillId="3" borderId="4" xfId="0" applyNumberFormat="1" applyFont="1" applyFill="1" applyBorder="1" applyAlignment="1">
      <alignment horizontal="center" vertical="center" wrapText="1"/>
    </xf>
    <xf numFmtId="174" fontId="10" fillId="3" borderId="5" xfId="0" applyFont="1" applyFill="1" applyBorder="1" applyAlignment="1">
      <alignment horizontal="left" vertical="center" wrapText="1"/>
    </xf>
    <xf numFmtId="166" fontId="22" fillId="3" borderId="5" xfId="0" applyNumberFormat="1" applyFont="1" applyFill="1" applyBorder="1" applyAlignment="1">
      <alignment horizontal="center"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174" fontId="12" fillId="0" borderId="0" xfId="0" applyFont="1" applyAlignment="1">
      <alignment horizontal="left" vertical="center" wrapText="1"/>
    </xf>
    <xf numFmtId="166" fontId="12" fillId="0" borderId="0" xfId="0" applyNumberFormat="1" applyFont="1" applyAlignment="1">
      <alignment horizontal="center" vertical="center" wrapText="1"/>
    </xf>
    <xf numFmtId="4" fontId="16" fillId="0" borderId="7" xfId="0" applyNumberFormat="1" applyFont="1" applyBorder="1" applyAlignment="1">
      <alignment horizontal="right" vertical="center"/>
    </xf>
    <xf numFmtId="166" fontId="24" fillId="13" borderId="0" xfId="0" applyNumberFormat="1" applyFont="1" applyFill="1" applyAlignment="1">
      <alignment horizontal="center" vertical="center" wrapText="1"/>
    </xf>
    <xf numFmtId="4" fontId="24" fillId="0" borderId="0" xfId="0" applyNumberFormat="1" applyFont="1" applyAlignment="1">
      <alignment horizontal="center" vertical="center"/>
    </xf>
    <xf numFmtId="4" fontId="24" fillId="0" borderId="0" xfId="0" quotePrefix="1" applyNumberFormat="1" applyFont="1" applyAlignment="1">
      <alignment horizontal="center" vertical="center"/>
    </xf>
    <xf numFmtId="4" fontId="25" fillId="0" borderId="7" xfId="0" applyNumberFormat="1" applyFont="1" applyBorder="1" applyAlignment="1">
      <alignment vertical="center"/>
    </xf>
    <xf numFmtId="174" fontId="16" fillId="0" borderId="0" xfId="0" applyFont="1" applyAlignment="1">
      <alignment horizontal="center" vertical="center" wrapText="1"/>
    </xf>
    <xf numFmtId="3" fontId="16" fillId="3" borderId="1" xfId="0" applyNumberFormat="1" applyFont="1" applyFill="1" applyBorder="1" applyAlignment="1">
      <alignment horizontal="center" vertical="center" wrapText="1"/>
    </xf>
    <xf numFmtId="174" fontId="16" fillId="3" borderId="0" xfId="0" applyFont="1" applyFill="1" applyAlignment="1">
      <alignment vertical="center"/>
    </xf>
    <xf numFmtId="4" fontId="26" fillId="3" borderId="0" xfId="0" quotePrefix="1" applyNumberFormat="1" applyFont="1" applyFill="1" applyAlignment="1">
      <alignment horizontal="right" vertical="center"/>
    </xf>
    <xf numFmtId="166" fontId="26" fillId="3" borderId="0" xfId="0" applyNumberFormat="1" applyFont="1" applyFill="1" applyAlignment="1">
      <alignment horizontal="center" vertical="center" wrapText="1"/>
    </xf>
    <xf numFmtId="4" fontId="25" fillId="3" borderId="7" xfId="0" applyNumberFormat="1" applyFont="1" applyFill="1" applyBorder="1" applyAlignment="1">
      <alignment vertical="center"/>
    </xf>
    <xf numFmtId="174" fontId="16" fillId="3" borderId="0" xfId="0" applyFont="1" applyFill="1" applyAlignment="1">
      <alignment horizontal="center" vertical="center" wrapText="1"/>
    </xf>
    <xf numFmtId="166" fontId="16" fillId="3" borderId="0" xfId="0" applyNumberFormat="1" applyFont="1" applyFill="1" applyAlignment="1">
      <alignment horizontal="center" vertical="center" wrapText="1"/>
    </xf>
    <xf numFmtId="174" fontId="16" fillId="0" borderId="0" xfId="0" applyFont="1" applyAlignment="1">
      <alignment vertical="center" wrapText="1"/>
    </xf>
    <xf numFmtId="3" fontId="16" fillId="3" borderId="2" xfId="0" applyNumberFormat="1" applyFont="1" applyFill="1" applyBorder="1" applyAlignment="1">
      <alignment horizontal="center" vertical="center" wrapText="1"/>
    </xf>
    <xf numFmtId="174" fontId="16" fillId="3" borderId="3" xfId="0" applyFont="1" applyFill="1" applyBorder="1" applyAlignment="1">
      <alignment horizontal="center" vertical="center"/>
    </xf>
    <xf numFmtId="166" fontId="16" fillId="3" borderId="3" xfId="0" applyNumberFormat="1" applyFont="1" applyFill="1" applyBorder="1" applyAlignment="1">
      <alignment horizontal="center" vertical="center" wrapText="1"/>
    </xf>
    <xf numFmtId="4" fontId="25" fillId="3" borderId="8" xfId="0" applyNumberFormat="1" applyFont="1" applyFill="1" applyBorder="1" applyAlignment="1">
      <alignment vertical="center"/>
    </xf>
    <xf numFmtId="3" fontId="16" fillId="0" borderId="0" xfId="0" applyNumberFormat="1" applyFont="1" applyAlignment="1">
      <alignment horizontal="left" vertical="center" wrapText="1"/>
    </xf>
    <xf numFmtId="3" fontId="16" fillId="0" borderId="0" xfId="0" applyNumberFormat="1" applyFont="1" applyAlignment="1">
      <alignment horizontal="center" vertical="center"/>
    </xf>
    <xf numFmtId="166" fontId="16" fillId="6" borderId="0" xfId="25" applyFont="1" applyFill="1" applyAlignment="1">
      <alignment horizontal="center" vertical="center" wrapText="1"/>
    </xf>
    <xf numFmtId="4" fontId="47" fillId="0" borderId="0" xfId="0" applyNumberFormat="1" applyFont="1" applyAlignment="1">
      <alignment vertical="center"/>
    </xf>
    <xf numFmtId="4" fontId="39" fillId="0" borderId="0" xfId="0" applyNumberFormat="1" applyFont="1" applyAlignment="1">
      <alignment vertical="center"/>
    </xf>
    <xf numFmtId="4" fontId="18" fillId="0" borderId="0" xfId="0" applyNumberFormat="1" applyFont="1" applyAlignment="1">
      <alignment vertical="center"/>
    </xf>
    <xf numFmtId="166" fontId="10" fillId="0" borderId="0" xfId="0" applyNumberFormat="1" applyFont="1" applyAlignment="1">
      <alignment horizontal="left" vertical="center"/>
    </xf>
    <xf numFmtId="174" fontId="10" fillId="0" borderId="0" xfId="0" applyFont="1" applyAlignment="1">
      <alignment horizontal="center" vertical="center"/>
    </xf>
    <xf numFmtId="4" fontId="11" fillId="0" borderId="0" xfId="0" applyNumberFormat="1" applyFont="1" applyAlignment="1">
      <alignment horizontal="right" vertical="center"/>
    </xf>
    <xf numFmtId="4" fontId="11" fillId="0" borderId="0" xfId="0" applyNumberFormat="1" applyFont="1" applyAlignment="1">
      <alignment horizontal="left" vertical="center"/>
    </xf>
    <xf numFmtId="4" fontId="15" fillId="0" borderId="0" xfId="0" applyNumberFormat="1" applyFont="1" applyAlignment="1">
      <alignment vertical="top"/>
    </xf>
    <xf numFmtId="174" fontId="10" fillId="0" borderId="0" xfId="0" applyFont="1" applyAlignment="1">
      <alignment vertical="center"/>
    </xf>
    <xf numFmtId="4" fontId="11" fillId="0" borderId="0" xfId="0" applyNumberFormat="1" applyFont="1" applyAlignment="1">
      <alignment vertical="center"/>
    </xf>
    <xf numFmtId="174" fontId="18" fillId="0" borderId="0" xfId="0" applyFont="1" applyAlignment="1">
      <alignment horizontal="left" vertical="center"/>
    </xf>
    <xf numFmtId="4" fontId="18" fillId="0" borderId="0" xfId="0" applyNumberFormat="1" applyFont="1" applyAlignment="1">
      <alignment horizontal="right" vertical="center"/>
    </xf>
    <xf numFmtId="4" fontId="18" fillId="0" borderId="0" xfId="0" applyNumberFormat="1" applyFont="1" applyAlignment="1">
      <alignment horizontal="left" vertical="center"/>
    </xf>
    <xf numFmtId="174" fontId="10" fillId="0" borderId="0" xfId="0" applyFont="1" applyAlignment="1">
      <alignment vertical="center" wrapText="1"/>
    </xf>
    <xf numFmtId="4" fontId="18" fillId="0" borderId="0" xfId="0" applyNumberFormat="1" applyFont="1" applyAlignment="1">
      <alignment horizontal="right" vertical="center" wrapText="1"/>
    </xf>
    <xf numFmtId="4" fontId="18" fillId="0" borderId="0" xfId="0" applyNumberFormat="1" applyFont="1" applyAlignment="1">
      <alignment horizontal="left" vertical="center" wrapText="1"/>
    </xf>
    <xf numFmtId="4" fontId="18" fillId="0" borderId="0" xfId="0" applyNumberFormat="1" applyFont="1" applyAlignment="1">
      <alignment horizontal="center" vertical="center" wrapText="1"/>
    </xf>
    <xf numFmtId="4" fontId="18" fillId="0" borderId="0" xfId="0" applyNumberFormat="1" applyFont="1" applyAlignment="1">
      <alignment vertical="center" wrapText="1"/>
    </xf>
    <xf numFmtId="172" fontId="18" fillId="0" borderId="0" xfId="0" applyNumberFormat="1" applyFont="1" applyAlignment="1">
      <alignment horizontal="left" vertical="center"/>
    </xf>
    <xf numFmtId="3" fontId="11" fillId="4" borderId="67" xfId="0" applyNumberFormat="1" applyFont="1" applyFill="1" applyBorder="1" applyAlignment="1">
      <alignment horizontal="center" vertical="center"/>
    </xf>
    <xf numFmtId="174" fontId="11" fillId="4" borderId="9" xfId="0" applyFont="1" applyFill="1" applyBorder="1" applyAlignment="1">
      <alignment horizontal="center" vertical="center"/>
    </xf>
    <xf numFmtId="172" fontId="18" fillId="0" borderId="0" xfId="0" applyNumberFormat="1" applyFont="1" applyAlignment="1">
      <alignment vertical="center"/>
    </xf>
    <xf numFmtId="3" fontId="18" fillId="0" borderId="22" xfId="0" applyNumberFormat="1" applyFont="1" applyBorder="1" applyAlignment="1">
      <alignment horizontal="center" vertical="center"/>
    </xf>
    <xf numFmtId="174" fontId="18" fillId="0" borderId="36" xfId="0" applyFont="1" applyBorder="1" applyAlignment="1">
      <alignment horizontal="center" vertical="center"/>
    </xf>
    <xf numFmtId="166" fontId="18" fillId="0" borderId="8" xfId="3" applyFont="1" applyFill="1" applyBorder="1" applyAlignment="1" applyProtection="1">
      <alignment horizontal="left" vertical="center"/>
    </xf>
    <xf numFmtId="176" fontId="52" fillId="0" borderId="0" xfId="0" applyNumberFormat="1" applyFont="1" applyAlignment="1">
      <alignment horizontal="left" vertical="center"/>
    </xf>
    <xf numFmtId="176" fontId="18" fillId="0" borderId="0" xfId="0" applyNumberFormat="1" applyFont="1" applyAlignment="1">
      <alignment horizontal="left" vertical="center"/>
    </xf>
    <xf numFmtId="172" fontId="11" fillId="0" borderId="0" xfId="0" applyNumberFormat="1" applyFont="1" applyAlignment="1">
      <alignment vertical="center"/>
    </xf>
    <xf numFmtId="3" fontId="18" fillId="0" borderId="12" xfId="0" applyNumberFormat="1" applyFont="1" applyBorder="1" applyAlignment="1">
      <alignment horizontal="center" vertical="center"/>
    </xf>
    <xf numFmtId="0" fontId="18" fillId="0" borderId="10" xfId="24" applyNumberFormat="1" applyFont="1" applyBorder="1" applyAlignment="1">
      <alignment horizontal="center" vertical="center"/>
    </xf>
    <xf numFmtId="166" fontId="18" fillId="0" borderId="98" xfId="3" applyFont="1" applyFill="1" applyBorder="1" applyAlignment="1" applyProtection="1">
      <alignment horizontal="left" vertical="center"/>
    </xf>
    <xf numFmtId="0" fontId="18" fillId="0" borderId="36" xfId="0" applyNumberFormat="1" applyFont="1" applyBorder="1" applyAlignment="1">
      <alignment horizontal="center" vertical="center"/>
    </xf>
    <xf numFmtId="3" fontId="18" fillId="0" borderId="0" xfId="0" applyNumberFormat="1" applyFont="1" applyAlignment="1">
      <alignment vertical="center"/>
    </xf>
    <xf numFmtId="3" fontId="10" fillId="0" borderId="0" xfId="0" applyNumberFormat="1" applyFont="1" applyAlignment="1">
      <alignment horizontal="left" vertical="center"/>
    </xf>
    <xf numFmtId="174" fontId="10" fillId="0" borderId="0" xfId="0" applyFont="1" applyAlignment="1">
      <alignment horizontal="justify" vertical="center"/>
    </xf>
    <xf numFmtId="174" fontId="15" fillId="0" borderId="0" xfId="0" applyFont="1" applyAlignment="1">
      <alignment horizontal="center" vertical="center"/>
    </xf>
    <xf numFmtId="174" fontId="10" fillId="0" borderId="0" xfId="0" quotePrefix="1" applyFont="1" applyAlignment="1">
      <alignment horizontal="justify" vertical="center"/>
    </xf>
    <xf numFmtId="174" fontId="15" fillId="0" borderId="0" xfId="0" applyFont="1" applyAlignment="1">
      <alignment vertical="center"/>
    </xf>
    <xf numFmtId="3" fontId="18" fillId="0" borderId="0" xfId="0" applyNumberFormat="1" applyFont="1" applyAlignment="1">
      <alignment horizontal="center" vertical="center"/>
    </xf>
    <xf numFmtId="171" fontId="11" fillId="10" borderId="33" xfId="22" applyNumberFormat="1" applyFont="1" applyFill="1" applyBorder="1" applyAlignment="1" applyProtection="1">
      <alignment horizontal="center" vertical="center"/>
      <protection locked="0"/>
    </xf>
    <xf numFmtId="174" fontId="20" fillId="7" borderId="18" xfId="0" applyFont="1" applyFill="1" applyBorder="1" applyAlignment="1" applyProtection="1">
      <alignment horizontal="center" vertical="center"/>
      <protection locked="0"/>
    </xf>
    <xf numFmtId="174" fontId="20" fillId="7" borderId="19" xfId="0" applyFont="1" applyFill="1" applyBorder="1" applyAlignment="1" applyProtection="1">
      <alignment horizontal="center" vertical="center"/>
      <protection locked="0"/>
    </xf>
    <xf numFmtId="174" fontId="20" fillId="7" borderId="20" xfId="0" applyFont="1" applyFill="1" applyBorder="1" applyAlignment="1" applyProtection="1">
      <alignment horizontal="center" vertical="center"/>
      <protection locked="0"/>
    </xf>
    <xf numFmtId="174" fontId="20" fillId="7" borderId="1" xfId="0" applyFont="1" applyFill="1" applyBorder="1" applyAlignment="1" applyProtection="1">
      <alignment horizontal="center" vertical="center"/>
      <protection locked="0"/>
    </xf>
    <xf numFmtId="174" fontId="20" fillId="7" borderId="0" xfId="0" applyFont="1" applyFill="1" applyAlignment="1" applyProtection="1">
      <alignment horizontal="center" vertical="center"/>
      <protection locked="0"/>
    </xf>
    <xf numFmtId="174" fontId="20" fillId="7" borderId="7" xfId="0" applyFont="1" applyFill="1" applyBorder="1" applyAlignment="1" applyProtection="1">
      <alignment horizontal="center" vertical="center"/>
      <protection locked="0"/>
    </xf>
    <xf numFmtId="4" fontId="18" fillId="7" borderId="0" xfId="0" applyNumberFormat="1" applyFont="1" applyFill="1" applyAlignment="1" applyProtection="1">
      <alignment horizontal="center" vertical="center"/>
      <protection locked="0"/>
    </xf>
    <xf numFmtId="169" fontId="20" fillId="8" borderId="12" xfId="0" applyNumberFormat="1" applyFont="1" applyFill="1" applyBorder="1" applyAlignment="1">
      <alignment horizontal="center" vertical="center"/>
    </xf>
    <xf numFmtId="169" fontId="20" fillId="8" borderId="13" xfId="0" applyNumberFormat="1" applyFont="1" applyFill="1" applyBorder="1" applyAlignment="1">
      <alignment horizontal="center" vertical="center"/>
    </xf>
    <xf numFmtId="174" fontId="20" fillId="6" borderId="50" xfId="0" applyFont="1" applyFill="1" applyBorder="1" applyAlignment="1">
      <alignment horizontal="justify" vertical="center" wrapText="1"/>
    </xf>
    <xf numFmtId="174" fontId="20" fillId="6" borderId="34" xfId="0" applyFont="1" applyFill="1" applyBorder="1" applyAlignment="1">
      <alignment horizontal="justify" vertical="center" wrapText="1"/>
    </xf>
    <xf numFmtId="169" fontId="20" fillId="0" borderId="12" xfId="0" applyNumberFormat="1" applyFont="1" applyBorder="1" applyAlignment="1">
      <alignment horizontal="center" vertical="center"/>
    </xf>
    <xf numFmtId="174" fontId="20" fillId="0" borderId="10" xfId="0" applyFont="1" applyBorder="1" applyAlignment="1">
      <alignment horizontal="left" vertical="center" wrapText="1"/>
    </xf>
    <xf numFmtId="174" fontId="44" fillId="0" borderId="10" xfId="0" applyFont="1" applyBorder="1" applyAlignment="1">
      <alignment horizontal="left" vertical="center" wrapText="1"/>
    </xf>
    <xf numFmtId="174" fontId="44" fillId="0" borderId="29" xfId="0" applyFont="1" applyBorder="1" applyAlignment="1">
      <alignment horizontal="left" vertical="center" wrapText="1"/>
    </xf>
    <xf numFmtId="174" fontId="20" fillId="8" borderId="50" xfId="0" applyFont="1" applyFill="1" applyBorder="1" applyAlignment="1">
      <alignment horizontal="justify" vertical="center" wrapText="1"/>
    </xf>
    <xf numFmtId="174" fontId="0" fillId="0" borderId="34" xfId="0" applyBorder="1" applyAlignment="1">
      <alignment horizontal="justify" vertical="center" wrapText="1"/>
    </xf>
    <xf numFmtId="169" fontId="20" fillId="8" borderId="4" xfId="0" applyNumberFormat="1" applyFont="1" applyFill="1" applyBorder="1" applyAlignment="1">
      <alignment horizontal="center" vertical="center"/>
    </xf>
    <xf numFmtId="174" fontId="20" fillId="8" borderId="5" xfId="0" applyFont="1" applyFill="1" applyBorder="1" applyAlignment="1">
      <alignment horizontal="left" vertical="center"/>
    </xf>
    <xf numFmtId="174" fontId="20" fillId="8" borderId="28" xfId="0" applyFont="1" applyFill="1" applyBorder="1" applyAlignment="1">
      <alignment horizontal="left" vertical="center"/>
    </xf>
    <xf numFmtId="174" fontId="20" fillId="8" borderId="10" xfId="0" applyFont="1" applyFill="1" applyBorder="1" applyAlignment="1">
      <alignment horizontal="left" vertical="center"/>
    </xf>
    <xf numFmtId="174" fontId="20" fillId="8" borderId="29" xfId="0" applyFont="1" applyFill="1" applyBorder="1" applyAlignment="1">
      <alignment horizontal="left" vertical="center"/>
    </xf>
    <xf numFmtId="174" fontId="10" fillId="6" borderId="4" xfId="0" applyFont="1" applyFill="1" applyBorder="1" applyAlignment="1">
      <alignment horizontal="center" vertical="center"/>
    </xf>
    <xf numFmtId="174" fontId="10" fillId="6" borderId="30" xfId="0" applyFont="1" applyFill="1" applyBorder="1" applyAlignment="1">
      <alignment horizontal="center" vertical="center"/>
    </xf>
    <xf numFmtId="166" fontId="11" fillId="0" borderId="0" xfId="0" applyNumberFormat="1" applyFont="1" applyAlignment="1">
      <alignment horizontal="center" vertical="center"/>
    </xf>
    <xf numFmtId="174" fontId="44" fillId="8" borderId="10" xfId="0" applyFont="1" applyFill="1" applyBorder="1" applyAlignment="1">
      <alignment horizontal="left" vertical="center"/>
    </xf>
    <xf numFmtId="174" fontId="44" fillId="8" borderId="29" xfId="0" applyFont="1" applyFill="1" applyBorder="1" applyAlignment="1">
      <alignment horizontal="left" vertical="center"/>
    </xf>
    <xf numFmtId="169" fontId="20" fillId="8" borderId="11" xfId="0" applyNumberFormat="1" applyFont="1" applyFill="1" applyBorder="1" applyAlignment="1">
      <alignment horizontal="center" vertical="center"/>
    </xf>
    <xf numFmtId="169" fontId="20" fillId="5" borderId="12" xfId="0" applyNumberFormat="1" applyFont="1" applyFill="1" applyBorder="1" applyAlignment="1">
      <alignment horizontal="center" vertical="center"/>
    </xf>
    <xf numFmtId="175" fontId="18" fillId="0" borderId="0" xfId="0" applyNumberFormat="1" applyFont="1" applyAlignment="1">
      <alignment horizontal="center" vertical="center"/>
    </xf>
    <xf numFmtId="174" fontId="20" fillId="5" borderId="10" xfId="0" applyFont="1" applyFill="1" applyBorder="1" applyAlignment="1">
      <alignment horizontal="left" vertical="center"/>
    </xf>
    <xf numFmtId="174" fontId="44" fillId="5" borderId="10" xfId="0" applyFont="1" applyFill="1" applyBorder="1" applyAlignment="1">
      <alignment horizontal="left" vertical="center"/>
    </xf>
    <xf numFmtId="174" fontId="44" fillId="5" borderId="29" xfId="0" applyFont="1" applyFill="1" applyBorder="1" applyAlignment="1">
      <alignment horizontal="left" vertical="center"/>
    </xf>
    <xf numFmtId="44" fontId="11" fillId="0" borderId="10" xfId="1" applyFont="1" applyBorder="1" applyAlignment="1" applyProtection="1">
      <alignment horizontal="center" vertical="center"/>
    </xf>
    <xf numFmtId="10" fontId="11" fillId="5" borderId="16" xfId="4" applyNumberFormat="1" applyFont="1" applyFill="1" applyBorder="1" applyAlignment="1" applyProtection="1">
      <alignment horizontal="center" vertical="center"/>
    </xf>
    <xf numFmtId="174" fontId="10" fillId="6" borderId="5" xfId="0" applyFont="1" applyFill="1" applyBorder="1" applyAlignment="1">
      <alignment horizontal="left" vertical="center"/>
    </xf>
    <xf numFmtId="174" fontId="10" fillId="6" borderId="28" xfId="0" applyFont="1" applyFill="1" applyBorder="1" applyAlignment="1">
      <alignment horizontal="left" vertical="center"/>
    </xf>
    <xf numFmtId="174" fontId="10" fillId="6" borderId="27" xfId="0" applyFont="1" applyFill="1" applyBorder="1" applyAlignment="1">
      <alignment horizontal="left" vertical="center"/>
    </xf>
    <xf numFmtId="174" fontId="10" fillId="6" borderId="40" xfId="0" applyFont="1" applyFill="1" applyBorder="1" applyAlignment="1">
      <alignment horizontal="left" vertical="center"/>
    </xf>
    <xf numFmtId="44" fontId="11" fillId="8" borderId="10" xfId="1" applyFont="1" applyFill="1" applyBorder="1" applyAlignment="1" applyProtection="1">
      <alignment horizontal="center" vertical="center"/>
    </xf>
    <xf numFmtId="10" fontId="11" fillId="8" borderId="16" xfId="4" applyNumberFormat="1" applyFont="1" applyFill="1" applyBorder="1" applyAlignment="1" applyProtection="1">
      <alignment horizontal="center" vertical="center"/>
    </xf>
    <xf numFmtId="169" fontId="20" fillId="8" borderId="10" xfId="0" applyNumberFormat="1" applyFont="1" applyFill="1" applyBorder="1" applyAlignment="1">
      <alignment horizontal="left" vertical="center"/>
    </xf>
    <xf numFmtId="174" fontId="44" fillId="8" borderId="14" xfId="0" applyFont="1" applyFill="1" applyBorder="1" applyAlignment="1">
      <alignment horizontal="left" vertical="center"/>
    </xf>
    <xf numFmtId="174" fontId="44" fillId="8" borderId="32" xfId="0" applyFont="1" applyFill="1" applyBorder="1" applyAlignment="1">
      <alignment horizontal="left" vertical="center"/>
    </xf>
    <xf numFmtId="44" fontId="11" fillId="8" borderId="14" xfId="1" applyFont="1" applyFill="1" applyBorder="1" applyAlignment="1" applyProtection="1">
      <alignment horizontal="center" vertical="center"/>
    </xf>
    <xf numFmtId="10" fontId="11" fillId="8" borderId="25" xfId="4" applyNumberFormat="1" applyFont="1" applyFill="1" applyBorder="1" applyAlignment="1" applyProtection="1">
      <alignment horizontal="center" vertical="center"/>
    </xf>
    <xf numFmtId="10" fontId="11" fillId="0" borderId="16" xfId="4" applyNumberFormat="1" applyFont="1" applyFill="1" applyBorder="1" applyAlignment="1" applyProtection="1">
      <alignment horizontal="center" vertical="center"/>
    </xf>
    <xf numFmtId="44" fontId="11" fillId="8" borderId="5" xfId="1" applyFont="1" applyFill="1" applyBorder="1" applyAlignment="1" applyProtection="1">
      <alignment horizontal="center" vertical="center"/>
    </xf>
    <xf numFmtId="10" fontId="11" fillId="8" borderId="6" xfId="4" applyNumberFormat="1" applyFont="1" applyFill="1" applyBorder="1" applyAlignment="1" applyProtection="1">
      <alignment horizontal="center" vertical="center"/>
    </xf>
    <xf numFmtId="171" fontId="10" fillId="6" borderId="6" xfId="0" applyNumberFormat="1" applyFont="1" applyFill="1" applyBorder="1" applyAlignment="1">
      <alignment horizontal="center" vertical="center"/>
    </xf>
    <xf numFmtId="171" fontId="10" fillId="6" borderId="31" xfId="0" applyNumberFormat="1" applyFont="1" applyFill="1" applyBorder="1" applyAlignment="1">
      <alignment horizontal="center" vertical="center"/>
    </xf>
    <xf numFmtId="166" fontId="18" fillId="0" borderId="1" xfId="0" applyNumberFormat="1" applyFont="1" applyBorder="1" applyAlignment="1">
      <alignment horizontal="center" vertical="center"/>
    </xf>
    <xf numFmtId="166" fontId="18" fillId="0" borderId="0" xfId="0" applyNumberFormat="1" applyFont="1" applyAlignment="1">
      <alignment horizontal="center" vertical="center"/>
    </xf>
    <xf numFmtId="174" fontId="20" fillId="8" borderId="17" xfId="0" applyFont="1" applyFill="1" applyBorder="1" applyAlignment="1">
      <alignment horizontal="left" vertical="center"/>
    </xf>
    <xf numFmtId="174" fontId="20" fillId="8" borderId="41" xfId="0" applyFont="1" applyFill="1" applyBorder="1" applyAlignment="1">
      <alignment horizontal="left" vertical="center"/>
    </xf>
    <xf numFmtId="44" fontId="11" fillId="8" borderId="17" xfId="1" applyFont="1" applyFill="1" applyBorder="1" applyAlignment="1" applyProtection="1">
      <alignment horizontal="center" vertical="center"/>
    </xf>
    <xf numFmtId="10" fontId="11" fillId="8" borderId="24" xfId="4" applyNumberFormat="1" applyFont="1" applyFill="1" applyBorder="1" applyAlignment="1" applyProtection="1">
      <alignment horizontal="center" vertical="center"/>
    </xf>
    <xf numFmtId="171" fontId="11" fillId="14" borderId="6" xfId="0" applyNumberFormat="1" applyFont="1" applyFill="1" applyBorder="1" applyAlignment="1">
      <alignment horizontal="center" vertical="center"/>
    </xf>
    <xf numFmtId="171" fontId="11" fillId="14" borderId="16" xfId="0" applyNumberFormat="1" applyFont="1" applyFill="1" applyBorder="1" applyAlignment="1">
      <alignment horizontal="center" vertical="center"/>
    </xf>
    <xf numFmtId="167" fontId="11" fillId="14" borderId="4" xfId="0" applyNumberFormat="1" applyFont="1" applyFill="1" applyBorder="1" applyAlignment="1">
      <alignment horizontal="center" vertical="center"/>
    </xf>
    <xf numFmtId="167" fontId="11" fillId="14" borderId="12" xfId="0" applyNumberFormat="1" applyFont="1" applyFill="1" applyBorder="1" applyAlignment="1">
      <alignment horizontal="center" vertical="center"/>
    </xf>
    <xf numFmtId="4" fontId="11" fillId="0" borderId="74" xfId="0" applyNumberFormat="1" applyFont="1" applyBorder="1" applyAlignment="1">
      <alignment horizontal="center" vertical="center"/>
    </xf>
    <xf numFmtId="4" fontId="11" fillId="0" borderId="76" xfId="0" applyNumberFormat="1" applyFont="1" applyBorder="1" applyAlignment="1">
      <alignment horizontal="center" vertical="center"/>
    </xf>
    <xf numFmtId="169" fontId="11" fillId="0" borderId="50" xfId="0" applyNumberFormat="1" applyFont="1" applyBorder="1" applyAlignment="1">
      <alignment horizontal="justify" vertical="center" wrapText="1"/>
    </xf>
    <xf numFmtId="169" fontId="11" fillId="0" borderId="34" xfId="0" applyNumberFormat="1" applyFont="1" applyBorder="1" applyAlignment="1">
      <alignment horizontal="justify" vertical="center" wrapText="1"/>
    </xf>
    <xf numFmtId="169" fontId="11" fillId="0" borderId="53" xfId="0" applyNumberFormat="1" applyFont="1" applyBorder="1" applyAlignment="1">
      <alignment horizontal="justify" vertical="center" wrapText="1"/>
    </xf>
    <xf numFmtId="174" fontId="18" fillId="0" borderId="39" xfId="0" applyFont="1" applyBorder="1" applyAlignment="1">
      <alignment horizontal="center" vertical="center"/>
    </xf>
    <xf numFmtId="174" fontId="18" fillId="0" borderId="37" xfId="0" applyFont="1" applyBorder="1" applyAlignment="1">
      <alignment horizontal="center" vertical="center"/>
    </xf>
    <xf numFmtId="174" fontId="11" fillId="0" borderId="79" xfId="0" applyFont="1" applyBorder="1" applyAlignment="1">
      <alignment horizontal="justify" vertical="center"/>
    </xf>
    <xf numFmtId="174" fontId="11" fillId="0" borderId="72" xfId="0" applyFont="1" applyBorder="1" applyAlignment="1">
      <alignment horizontal="justify" vertical="center"/>
    </xf>
    <xf numFmtId="174" fontId="11" fillId="0" borderId="69" xfId="0" applyFont="1" applyBorder="1" applyAlignment="1">
      <alignment horizontal="justify" vertical="center"/>
    </xf>
    <xf numFmtId="174" fontId="11" fillId="0" borderId="80" xfId="0" applyFont="1" applyBorder="1" applyAlignment="1">
      <alignment horizontal="justify" vertical="center"/>
    </xf>
    <xf numFmtId="174" fontId="0" fillId="0" borderId="71" xfId="0" applyBorder="1" applyAlignment="1">
      <alignment horizontal="justify" vertical="center"/>
    </xf>
    <xf numFmtId="174" fontId="0" fillId="0" borderId="81" xfId="0" applyBorder="1" applyAlignment="1">
      <alignment horizontal="justify" vertical="center"/>
    </xf>
    <xf numFmtId="10" fontId="11" fillId="0" borderId="79" xfId="4" applyNumberFormat="1" applyFont="1" applyBorder="1" applyAlignment="1" applyProtection="1">
      <alignment horizontal="center" vertical="center"/>
    </xf>
    <xf numFmtId="10" fontId="11" fillId="0" borderId="72" xfId="4" applyNumberFormat="1" applyFont="1" applyBorder="1" applyAlignment="1" applyProtection="1">
      <alignment horizontal="center" vertical="center"/>
    </xf>
    <xf numFmtId="10" fontId="11" fillId="0" borderId="80" xfId="4" applyNumberFormat="1" applyFont="1" applyBorder="1" applyAlignment="1" applyProtection="1">
      <alignment horizontal="center" vertical="center"/>
    </xf>
    <xf numFmtId="10" fontId="11" fillId="0" borderId="71" xfId="4" applyNumberFormat="1" applyFont="1" applyBorder="1" applyAlignment="1" applyProtection="1">
      <alignment horizontal="center" vertical="center"/>
    </xf>
    <xf numFmtId="169" fontId="11" fillId="14" borderId="4" xfId="0" applyNumberFormat="1" applyFont="1" applyFill="1" applyBorder="1" applyAlignment="1">
      <alignment horizontal="center" vertical="center"/>
    </xf>
    <xf numFmtId="169" fontId="11" fillId="14" borderId="12" xfId="0" applyNumberFormat="1" applyFont="1" applyFill="1" applyBorder="1" applyAlignment="1">
      <alignment horizontal="center" vertical="center"/>
    </xf>
    <xf numFmtId="174" fontId="11" fillId="14" borderId="5" xfId="0" applyFont="1" applyFill="1" applyBorder="1" applyAlignment="1">
      <alignment horizontal="justify" vertical="center" wrapText="1"/>
    </xf>
    <xf numFmtId="174" fontId="11" fillId="14" borderId="10" xfId="0" applyFont="1" applyFill="1" applyBorder="1" applyAlignment="1">
      <alignment horizontal="justify" vertical="center" wrapText="1"/>
    </xf>
    <xf numFmtId="174" fontId="11" fillId="14" borderId="5" xfId="0" applyFont="1" applyFill="1" applyBorder="1" applyAlignment="1">
      <alignment horizontal="center" vertical="center"/>
    </xf>
    <xf numFmtId="174" fontId="11" fillId="14" borderId="28" xfId="0" applyFont="1" applyFill="1" applyBorder="1" applyAlignment="1">
      <alignment horizontal="center" vertical="center"/>
    </xf>
    <xf numFmtId="174" fontId="11" fillId="14" borderId="10" xfId="0" applyFont="1" applyFill="1" applyBorder="1" applyAlignment="1">
      <alignment horizontal="center" vertical="center"/>
    </xf>
    <xf numFmtId="174" fontId="11" fillId="14" borderId="29" xfId="0" applyFont="1" applyFill="1" applyBorder="1" applyAlignment="1">
      <alignment horizontal="center" vertical="center"/>
    </xf>
    <xf numFmtId="174" fontId="11" fillId="0" borderId="1" xfId="0" applyFont="1" applyBorder="1" applyAlignment="1">
      <alignment horizontal="center" vertical="center"/>
    </xf>
    <xf numFmtId="174" fontId="11" fillId="0" borderId="0" xfId="0" applyFont="1" applyAlignment="1">
      <alignment horizontal="center" vertical="center"/>
    </xf>
    <xf numFmtId="174" fontId="11" fillId="0" borderId="7" xfId="0" applyFont="1" applyBorder="1" applyAlignment="1">
      <alignment horizontal="center" vertical="center"/>
    </xf>
    <xf numFmtId="169" fontId="11" fillId="14" borderId="5" xfId="0" applyNumberFormat="1" applyFont="1" applyFill="1" applyBorder="1" applyAlignment="1">
      <alignment horizontal="left" vertical="center" wrapText="1"/>
    </xf>
    <xf numFmtId="169" fontId="11" fillId="14" borderId="10" xfId="0" applyNumberFormat="1" applyFont="1" applyFill="1" applyBorder="1" applyAlignment="1">
      <alignment horizontal="left" vertical="center" wrapText="1"/>
    </xf>
    <xf numFmtId="174" fontId="11" fillId="14" borderId="13" xfId="0" applyFont="1" applyFill="1" applyBorder="1" applyAlignment="1">
      <alignment horizontal="center" vertical="center"/>
    </xf>
    <xf numFmtId="171" fontId="11" fillId="14" borderId="25" xfId="0" applyNumberFormat="1" applyFont="1" applyFill="1" applyBorder="1" applyAlignment="1">
      <alignment horizontal="center" vertical="center"/>
    </xf>
    <xf numFmtId="174" fontId="11" fillId="14" borderId="5" xfId="0" applyFont="1" applyFill="1" applyBorder="1" applyAlignment="1">
      <alignment horizontal="justify" vertical="center"/>
    </xf>
    <xf numFmtId="174" fontId="11" fillId="14" borderId="14" xfId="0" applyFont="1" applyFill="1" applyBorder="1" applyAlignment="1">
      <alignment horizontal="justify" vertical="center"/>
    </xf>
    <xf numFmtId="174" fontId="11" fillId="14" borderId="14" xfId="0" applyFont="1" applyFill="1" applyBorder="1" applyAlignment="1">
      <alignment horizontal="center" vertical="center"/>
    </xf>
    <xf numFmtId="4" fontId="11" fillId="14" borderId="5" xfId="0" applyNumberFormat="1" applyFont="1" applyFill="1" applyBorder="1" applyAlignment="1">
      <alignment horizontal="center" vertical="center"/>
    </xf>
    <xf numFmtId="4" fontId="11" fillId="14" borderId="14" xfId="0" applyNumberFormat="1" applyFont="1" applyFill="1" applyBorder="1" applyAlignment="1">
      <alignment horizontal="center" vertical="center"/>
    </xf>
    <xf numFmtId="174" fontId="11" fillId="7" borderId="75" xfId="0" applyFont="1" applyFill="1" applyBorder="1" applyAlignment="1" applyProtection="1">
      <alignment horizontal="center" vertical="center"/>
      <protection locked="0"/>
    </xf>
    <xf numFmtId="174" fontId="11" fillId="7" borderId="77" xfId="0" applyFont="1" applyFill="1" applyBorder="1" applyAlignment="1" applyProtection="1">
      <alignment horizontal="center" vertical="center"/>
      <protection locked="0"/>
    </xf>
    <xf numFmtId="169" fontId="11" fillId="14" borderId="5" xfId="0" applyNumberFormat="1" applyFont="1" applyFill="1" applyBorder="1" applyAlignment="1">
      <alignment horizontal="justify" vertical="center" wrapText="1"/>
    </xf>
    <xf numFmtId="169" fontId="11" fillId="14" borderId="10" xfId="0" applyNumberFormat="1" applyFont="1" applyFill="1" applyBorder="1" applyAlignment="1">
      <alignment horizontal="justify" vertical="center" wrapText="1"/>
    </xf>
    <xf numFmtId="4" fontId="42" fillId="0" borderId="0" xfId="0" applyNumberFormat="1" applyFont="1" applyAlignment="1">
      <alignment horizontal="center" vertical="center"/>
    </xf>
    <xf numFmtId="171" fontId="43" fillId="8" borderId="46" xfId="0" applyNumberFormat="1" applyFont="1" applyFill="1" applyBorder="1" applyAlignment="1">
      <alignment horizontal="center" vertical="center"/>
    </xf>
    <xf numFmtId="171" fontId="43" fillId="8" borderId="63" xfId="0" applyNumberFormat="1" applyFont="1" applyFill="1" applyBorder="1" applyAlignment="1">
      <alignment horizontal="center" vertical="center"/>
    </xf>
    <xf numFmtId="171" fontId="43" fillId="8" borderId="97" xfId="0" applyNumberFormat="1" applyFont="1" applyFill="1" applyBorder="1" applyAlignment="1">
      <alignment horizontal="center" vertical="center"/>
    </xf>
    <xf numFmtId="177" fontId="10" fillId="0" borderId="58" xfId="0" applyNumberFormat="1" applyFont="1" applyBorder="1" applyAlignment="1">
      <alignment horizontal="center" vertical="center"/>
    </xf>
    <xf numFmtId="177" fontId="10" fillId="0" borderId="56" xfId="0" applyNumberFormat="1" applyFont="1" applyBorder="1" applyAlignment="1">
      <alignment horizontal="center" vertical="center"/>
    </xf>
    <xf numFmtId="177" fontId="10" fillId="0" borderId="57" xfId="0" applyNumberFormat="1" applyFont="1" applyBorder="1" applyAlignment="1">
      <alignment horizontal="center" vertical="center"/>
    </xf>
    <xf numFmtId="164" fontId="10" fillId="0" borderId="55" xfId="2" applyNumberFormat="1" applyFont="1" applyFill="1" applyBorder="1" applyAlignment="1" applyProtection="1">
      <alignment horizontal="center" vertical="center"/>
    </xf>
    <xf numFmtId="164" fontId="10" fillId="0" borderId="45" xfId="2" applyNumberFormat="1" applyFont="1" applyFill="1" applyBorder="1" applyAlignment="1" applyProtection="1">
      <alignment horizontal="center" vertical="center"/>
    </xf>
    <xf numFmtId="171" fontId="43" fillId="0" borderId="29" xfId="2" applyNumberFormat="1" applyFont="1" applyFill="1" applyBorder="1" applyAlignment="1" applyProtection="1">
      <alignment horizontal="center" vertical="center"/>
    </xf>
    <xf numFmtId="171" fontId="43" fillId="0" borderId="26" xfId="2" applyNumberFormat="1" applyFont="1" applyFill="1" applyBorder="1" applyAlignment="1" applyProtection="1">
      <alignment horizontal="center" vertical="center"/>
    </xf>
    <xf numFmtId="177" fontId="10" fillId="8" borderId="41" xfId="0" applyNumberFormat="1" applyFont="1" applyFill="1" applyBorder="1" applyAlignment="1">
      <alignment horizontal="center" vertical="center"/>
    </xf>
    <xf numFmtId="177" fontId="10" fillId="8" borderId="95" xfId="0" applyNumberFormat="1" applyFont="1" applyFill="1" applyBorder="1" applyAlignment="1">
      <alignment horizontal="center" vertical="center"/>
    </xf>
    <xf numFmtId="177" fontId="10" fillId="8" borderId="96" xfId="0" applyNumberFormat="1" applyFont="1" applyFill="1" applyBorder="1" applyAlignment="1">
      <alignment horizontal="center" vertical="center"/>
    </xf>
    <xf numFmtId="177" fontId="10" fillId="0" borderId="29" xfId="4" applyNumberFormat="1" applyFont="1" applyFill="1" applyBorder="1" applyAlignment="1" applyProtection="1">
      <alignment horizontal="center" vertical="center"/>
    </xf>
    <xf numFmtId="177" fontId="10" fillId="0" borderId="26" xfId="4" applyNumberFormat="1" applyFont="1" applyFill="1" applyBorder="1" applyAlignment="1" applyProtection="1">
      <alignment horizontal="center" vertical="center"/>
    </xf>
    <xf numFmtId="177" fontId="10" fillId="0" borderId="35" xfId="4" applyNumberFormat="1" applyFont="1" applyFill="1" applyBorder="1" applyAlignment="1" applyProtection="1">
      <alignment horizontal="center" vertical="center"/>
    </xf>
    <xf numFmtId="171" fontId="43" fillId="0" borderId="29" xfId="0" applyNumberFormat="1" applyFont="1" applyBorder="1" applyAlignment="1">
      <alignment horizontal="center" vertical="center"/>
    </xf>
    <xf numFmtId="171" fontId="43" fillId="0" borderId="26" xfId="0" applyNumberFormat="1" applyFont="1" applyBorder="1" applyAlignment="1">
      <alignment horizontal="center" vertical="center"/>
    </xf>
    <xf numFmtId="171" fontId="43" fillId="0" borderId="35" xfId="0" applyNumberFormat="1" applyFont="1" applyBorder="1" applyAlignment="1">
      <alignment horizontal="center" vertical="center"/>
    </xf>
    <xf numFmtId="177" fontId="10" fillId="8" borderId="29" xfId="4" applyNumberFormat="1" applyFont="1" applyFill="1" applyBorder="1" applyAlignment="1" applyProtection="1">
      <alignment horizontal="center" vertical="center"/>
    </xf>
    <xf numFmtId="177" fontId="10" fillId="8" borderId="26" xfId="4" applyNumberFormat="1" applyFont="1" applyFill="1" applyBorder="1" applyAlignment="1" applyProtection="1">
      <alignment horizontal="center" vertical="center"/>
    </xf>
    <xf numFmtId="177" fontId="10" fillId="8" borderId="35" xfId="4" applyNumberFormat="1" applyFont="1" applyFill="1" applyBorder="1" applyAlignment="1" applyProtection="1">
      <alignment horizontal="center" vertical="center"/>
    </xf>
    <xf numFmtId="164" fontId="10" fillId="8" borderId="45" xfId="2" applyNumberFormat="1" applyFont="1" applyFill="1" applyBorder="1" applyAlignment="1" applyProtection="1">
      <alignment horizontal="center" vertical="center"/>
    </xf>
    <xf numFmtId="171" fontId="43" fillId="8" borderId="29" xfId="0" applyNumberFormat="1" applyFont="1" applyFill="1" applyBorder="1" applyAlignment="1">
      <alignment horizontal="center" vertical="center"/>
    </xf>
    <xf numFmtId="171" fontId="43" fillId="8" borderId="26" xfId="0" applyNumberFormat="1" applyFont="1" applyFill="1" applyBorder="1" applyAlignment="1">
      <alignment horizontal="center" vertical="center"/>
    </xf>
    <xf numFmtId="171" fontId="43" fillId="8" borderId="35" xfId="0" applyNumberFormat="1" applyFont="1" applyFill="1" applyBorder="1" applyAlignment="1">
      <alignment horizontal="center" vertical="center"/>
    </xf>
    <xf numFmtId="174" fontId="14" fillId="0" borderId="0" xfId="0" applyFont="1" applyAlignment="1">
      <alignment horizontal="center" vertical="center"/>
    </xf>
    <xf numFmtId="177" fontId="10" fillId="0" borderId="54" xfId="0" applyNumberFormat="1" applyFont="1" applyBorder="1" applyAlignment="1">
      <alignment horizontal="center" vertical="center"/>
    </xf>
    <xf numFmtId="177" fontId="10" fillId="0" borderId="55" xfId="0" applyNumberFormat="1" applyFont="1" applyBorder="1" applyAlignment="1">
      <alignment horizontal="center" vertical="center"/>
    </xf>
    <xf numFmtId="177" fontId="10" fillId="0" borderId="10" xfId="0" applyNumberFormat="1" applyFont="1" applyBorder="1" applyAlignment="1">
      <alignment horizontal="center" vertical="center"/>
    </xf>
    <xf numFmtId="177" fontId="10" fillId="0" borderId="45" xfId="0" applyNumberFormat="1" applyFont="1" applyBorder="1" applyAlignment="1">
      <alignment horizontal="center" vertical="center"/>
    </xf>
    <xf numFmtId="174" fontId="12" fillId="0" borderId="0" xfId="0" applyFont="1" applyAlignment="1">
      <alignment horizontal="center" vertical="center"/>
    </xf>
    <xf numFmtId="174" fontId="16" fillId="0" borderId="0" xfId="0" applyFont="1" applyAlignment="1">
      <alignment horizontal="center" vertical="center"/>
    </xf>
    <xf numFmtId="177" fontId="10" fillId="0" borderId="29" xfId="0" applyNumberFormat="1" applyFont="1" applyBorder="1" applyAlignment="1">
      <alignment horizontal="center" vertical="center"/>
    </xf>
    <xf numFmtId="4" fontId="11" fillId="0" borderId="0" xfId="0" applyNumberFormat="1" applyFont="1" applyAlignment="1">
      <alignment horizontal="center" vertical="center"/>
    </xf>
    <xf numFmtId="173" fontId="11" fillId="0" borderId="0" xfId="0" applyNumberFormat="1" applyFont="1" applyAlignment="1">
      <alignment horizontal="justify" vertical="center" wrapText="1"/>
    </xf>
    <xf numFmtId="173" fontId="11" fillId="0" borderId="64" xfId="0" applyNumberFormat="1" applyFont="1" applyBorder="1" applyAlignment="1">
      <alignment horizontal="justify" vertical="center" wrapText="1"/>
    </xf>
    <xf numFmtId="174" fontId="20" fillId="8" borderId="48" xfId="0" applyFont="1" applyFill="1" applyBorder="1" applyAlignment="1">
      <alignment horizontal="center" vertical="center"/>
    </xf>
    <xf numFmtId="174" fontId="44" fillId="8" borderId="54" xfId="0" applyFont="1" applyFill="1" applyBorder="1"/>
    <xf numFmtId="174" fontId="20" fillId="8" borderId="54" xfId="0" applyFont="1" applyFill="1" applyBorder="1" applyAlignment="1">
      <alignment horizontal="center" vertical="center"/>
    </xf>
    <xf numFmtId="174" fontId="44" fillId="8" borderId="55" xfId="0" applyFont="1" applyFill="1" applyBorder="1"/>
    <xf numFmtId="164" fontId="10" fillId="0" borderId="54" xfId="2" applyNumberFormat="1" applyFont="1" applyFill="1" applyBorder="1" applyAlignment="1" applyProtection="1">
      <alignment horizontal="center" vertical="center" wrapText="1"/>
    </xf>
    <xf numFmtId="164" fontId="10" fillId="0" borderId="10" xfId="0" applyNumberFormat="1" applyFont="1" applyBorder="1" applyAlignment="1">
      <alignment horizontal="center" vertical="center" wrapText="1"/>
    </xf>
    <xf numFmtId="174" fontId="11" fillId="0" borderId="65" xfId="0" applyFont="1" applyBorder="1" applyAlignment="1">
      <alignment horizontal="center" vertical="center"/>
    </xf>
    <xf numFmtId="174" fontId="18" fillId="0" borderId="65" xfId="0" applyFont="1" applyBorder="1"/>
    <xf numFmtId="164" fontId="10" fillId="8" borderId="62" xfId="2" applyNumberFormat="1" applyFont="1" applyFill="1" applyBorder="1" applyAlignment="1" applyProtection="1">
      <alignment horizontal="center" vertical="center"/>
    </xf>
    <xf numFmtId="1" fontId="10" fillId="8" borderId="60" xfId="0" applyNumberFormat="1" applyFont="1" applyFill="1" applyBorder="1" applyAlignment="1">
      <alignment horizontal="center" vertical="center" wrapText="1"/>
    </xf>
    <xf numFmtId="1" fontId="10" fillId="8" borderId="49" xfId="0" applyNumberFormat="1" applyFont="1" applyFill="1" applyBorder="1" applyAlignment="1">
      <alignment horizontal="center" vertical="center" wrapText="1"/>
    </xf>
    <xf numFmtId="4" fontId="10" fillId="8" borderId="17" xfId="0" applyNumberFormat="1" applyFont="1" applyFill="1" applyBorder="1" applyAlignment="1">
      <alignment horizontal="left" vertical="center" wrapText="1"/>
    </xf>
    <xf numFmtId="4" fontId="10" fillId="8" borderId="10" xfId="0" applyNumberFormat="1" applyFont="1" applyFill="1" applyBorder="1" applyAlignment="1">
      <alignment horizontal="left" vertical="center" wrapText="1"/>
    </xf>
    <xf numFmtId="171" fontId="43" fillId="8" borderId="29" xfId="2" applyNumberFormat="1" applyFont="1" applyFill="1" applyBorder="1" applyAlignment="1" applyProtection="1">
      <alignment horizontal="center" vertical="center"/>
    </xf>
    <xf numFmtId="171" fontId="43" fillId="8" borderId="26" xfId="2" applyNumberFormat="1" applyFont="1" applyFill="1" applyBorder="1" applyAlignment="1" applyProtection="1">
      <alignment horizontal="center" vertical="center"/>
    </xf>
    <xf numFmtId="164" fontId="10" fillId="8" borderId="17" xfId="2" applyNumberFormat="1" applyFont="1" applyFill="1" applyBorder="1" applyAlignment="1" applyProtection="1">
      <alignment horizontal="center" vertical="center" wrapText="1"/>
    </xf>
    <xf numFmtId="164" fontId="10" fillId="8" borderId="10" xfId="0" applyNumberFormat="1" applyFont="1" applyFill="1" applyBorder="1" applyAlignment="1">
      <alignment horizontal="center" vertical="center" wrapText="1"/>
    </xf>
    <xf numFmtId="4" fontId="11" fillId="0" borderId="0" xfId="0" applyNumberFormat="1" applyFont="1" applyAlignment="1">
      <alignment horizontal="justify" vertical="center" wrapText="1"/>
    </xf>
    <xf numFmtId="1" fontId="10" fillId="0" borderId="48" xfId="0" applyNumberFormat="1" applyFont="1" applyBorder="1" applyAlignment="1">
      <alignment horizontal="center" vertical="center" wrapText="1"/>
    </xf>
    <xf numFmtId="1" fontId="10" fillId="0" borderId="49" xfId="0" applyNumberFormat="1" applyFont="1" applyBorder="1" applyAlignment="1">
      <alignment horizontal="center" vertical="center" wrapText="1"/>
    </xf>
    <xf numFmtId="4" fontId="10" fillId="0" borderId="54" xfId="0" applyNumberFormat="1" applyFont="1" applyBorder="1" applyAlignment="1">
      <alignment horizontal="left" vertical="center" wrapText="1"/>
    </xf>
    <xf numFmtId="4" fontId="10" fillId="0" borderId="10" xfId="0" applyNumberFormat="1" applyFont="1" applyBorder="1" applyAlignment="1">
      <alignment horizontal="left" vertical="center" wrapText="1"/>
    </xf>
    <xf numFmtId="164" fontId="10" fillId="0" borderId="10" xfId="0" applyNumberFormat="1" applyFont="1" applyBorder="1" applyAlignment="1">
      <alignment horizontal="center" vertical="center"/>
    </xf>
    <xf numFmtId="164" fontId="10" fillId="0" borderId="61" xfId="2" applyNumberFormat="1" applyFont="1" applyFill="1" applyBorder="1" applyAlignment="1" applyProtection="1">
      <alignment horizontal="center" vertical="center"/>
    </xf>
    <xf numFmtId="164" fontId="10" fillId="0" borderId="62" xfId="2" applyNumberFormat="1" applyFont="1" applyFill="1" applyBorder="1" applyAlignment="1" applyProtection="1">
      <alignment horizontal="center" vertical="center"/>
    </xf>
    <xf numFmtId="171" fontId="43" fillId="0" borderId="46" xfId="4" applyNumberFormat="1" applyFont="1" applyFill="1" applyBorder="1" applyAlignment="1" applyProtection="1">
      <alignment horizontal="center" vertical="center"/>
    </xf>
    <xf numFmtId="171" fontId="43" fillId="0" borderId="63" xfId="4" applyNumberFormat="1" applyFont="1" applyFill="1" applyBorder="1" applyAlignment="1" applyProtection="1">
      <alignment horizontal="center" vertical="center"/>
    </xf>
    <xf numFmtId="1" fontId="10" fillId="8" borderId="42" xfId="0" applyNumberFormat="1" applyFont="1" applyFill="1" applyBorder="1" applyAlignment="1">
      <alignment horizontal="center" vertical="center" wrapText="1"/>
    </xf>
    <xf numFmtId="4" fontId="10" fillId="8" borderId="43" xfId="0" applyNumberFormat="1" applyFont="1" applyFill="1" applyBorder="1" applyAlignment="1">
      <alignment horizontal="left" vertical="center" wrapText="1"/>
    </xf>
    <xf numFmtId="164" fontId="10" fillId="8" borderId="10" xfId="0" applyNumberFormat="1" applyFont="1" applyFill="1" applyBorder="1" applyAlignment="1">
      <alignment horizontal="center" vertical="center"/>
    </xf>
    <xf numFmtId="174" fontId="10" fillId="0" borderId="64" xfId="0" applyFont="1" applyBorder="1" applyAlignment="1">
      <alignment horizontal="right" vertical="center" wrapText="1"/>
    </xf>
    <xf numFmtId="177" fontId="10" fillId="5" borderId="58" xfId="0" applyNumberFormat="1" applyFont="1" applyFill="1" applyBorder="1" applyAlignment="1">
      <alignment horizontal="center" vertical="center"/>
    </xf>
    <xf numFmtId="177" fontId="10" fillId="5" borderId="56" xfId="0" applyNumberFormat="1" applyFont="1" applyFill="1" applyBorder="1" applyAlignment="1">
      <alignment horizontal="center" vertical="center"/>
    </xf>
    <xf numFmtId="164" fontId="10" fillId="5" borderId="59" xfId="4" applyNumberFormat="1" applyFont="1" applyFill="1" applyBorder="1" applyAlignment="1" applyProtection="1">
      <alignment horizontal="center" vertical="center"/>
    </xf>
    <xf numFmtId="164" fontId="10" fillId="5" borderId="60" xfId="4" applyNumberFormat="1" applyFont="1" applyFill="1" applyBorder="1" applyAlignment="1" applyProtection="1">
      <alignment horizontal="center" vertical="center"/>
    </xf>
    <xf numFmtId="9" fontId="11" fillId="0" borderId="2" xfId="4" applyFont="1" applyBorder="1" applyAlignment="1" applyProtection="1">
      <alignment horizontal="center" vertical="center" wrapText="1"/>
    </xf>
    <xf numFmtId="9" fontId="11" fillId="0" borderId="3" xfId="4" applyFont="1" applyBorder="1" applyAlignment="1" applyProtection="1">
      <alignment horizontal="center" vertical="center" wrapText="1"/>
    </xf>
    <xf numFmtId="9" fontId="11" fillId="0" borderId="8" xfId="4" applyFont="1" applyBorder="1" applyAlignment="1" applyProtection="1">
      <alignment horizontal="center" vertical="center" wrapText="1"/>
    </xf>
    <xf numFmtId="4" fontId="22" fillId="3" borderId="28" xfId="0" quotePrefix="1" applyNumberFormat="1" applyFont="1" applyFill="1" applyBorder="1" applyAlignment="1">
      <alignment horizontal="right" vertical="center"/>
    </xf>
    <xf numFmtId="4" fontId="22" fillId="3" borderId="66" xfId="0" quotePrefix="1" applyNumberFormat="1" applyFont="1" applyFill="1" applyBorder="1" applyAlignment="1">
      <alignment horizontal="right" vertical="center"/>
    </xf>
    <xf numFmtId="174" fontId="16" fillId="0" borderId="74" xfId="0" applyFont="1" applyBorder="1" applyAlignment="1">
      <alignment horizontal="center" vertical="center"/>
    </xf>
    <xf numFmtId="174" fontId="16" fillId="0" borderId="78" xfId="0" applyFont="1" applyBorder="1" applyAlignment="1">
      <alignment horizontal="center" vertical="center"/>
    </xf>
    <xf numFmtId="174" fontId="16" fillId="0" borderId="92" xfId="0" applyFont="1" applyBorder="1" applyAlignment="1">
      <alignment horizontal="center" vertical="center"/>
    </xf>
    <xf numFmtId="174" fontId="16" fillId="0" borderId="93" xfId="0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justify" vertical="center" wrapText="1"/>
    </xf>
    <xf numFmtId="3" fontId="10" fillId="0" borderId="0" xfId="0" applyNumberFormat="1" applyFont="1" applyAlignment="1">
      <alignment horizontal="justify" vertical="center" wrapText="1"/>
    </xf>
    <xf numFmtId="3" fontId="10" fillId="0" borderId="7" xfId="0" applyNumberFormat="1" applyFont="1" applyBorder="1" applyAlignment="1">
      <alignment horizontal="justify" vertical="center" wrapText="1"/>
    </xf>
    <xf numFmtId="174" fontId="12" fillId="0" borderId="75" xfId="0" applyFont="1" applyBorder="1" applyAlignment="1">
      <alignment horizontal="center" vertical="center"/>
    </xf>
    <xf numFmtId="174" fontId="12" fillId="0" borderId="94" xfId="0" applyFont="1" applyBorder="1" applyAlignment="1">
      <alignment horizontal="center" vertical="center"/>
    </xf>
    <xf numFmtId="9" fontId="12" fillId="0" borderId="79" xfId="4" applyFont="1" applyBorder="1" applyAlignment="1" applyProtection="1">
      <alignment horizontal="justify" vertical="center" wrapText="1"/>
    </xf>
    <xf numFmtId="9" fontId="12" fillId="0" borderId="70" xfId="4" applyFont="1" applyBorder="1" applyAlignment="1" applyProtection="1">
      <alignment horizontal="justify" vertical="center" wrapText="1"/>
    </xf>
    <xf numFmtId="3" fontId="12" fillId="0" borderId="89" xfId="0" applyNumberFormat="1" applyFont="1" applyBorder="1" applyAlignment="1">
      <alignment horizontal="justify" vertical="center" wrapText="1"/>
    </xf>
    <xf numFmtId="174" fontId="9" fillId="0" borderId="90" xfId="0" applyFont="1" applyBorder="1" applyAlignment="1">
      <alignment horizontal="justify" vertical="center" wrapText="1"/>
    </xf>
    <xf numFmtId="4" fontId="22" fillId="3" borderId="5" xfId="24" quotePrefix="1" applyNumberFormat="1" applyFont="1" applyFill="1" applyBorder="1" applyAlignment="1">
      <alignment horizontal="right" vertical="center"/>
    </xf>
    <xf numFmtId="174" fontId="38" fillId="0" borderId="18" xfId="0" applyFont="1" applyBorder="1" applyAlignment="1">
      <alignment horizontal="center" vertical="center"/>
    </xf>
    <xf numFmtId="174" fontId="38" fillId="0" borderId="19" xfId="0" applyFont="1" applyBorder="1" applyAlignment="1">
      <alignment horizontal="center" vertical="center"/>
    </xf>
    <xf numFmtId="174" fontId="38" fillId="0" borderId="20" xfId="0" applyFont="1" applyBorder="1" applyAlignment="1">
      <alignment horizontal="center" vertical="center"/>
    </xf>
    <xf numFmtId="174" fontId="38" fillId="0" borderId="1" xfId="0" applyFont="1" applyBorder="1" applyAlignment="1">
      <alignment horizontal="center" vertical="center"/>
    </xf>
    <xf numFmtId="174" fontId="38" fillId="0" borderId="0" xfId="0" applyFont="1" applyAlignment="1">
      <alignment horizontal="center" vertical="center"/>
    </xf>
    <xf numFmtId="174" fontId="38" fillId="0" borderId="7" xfId="0" applyFont="1" applyBorder="1" applyAlignment="1">
      <alignment horizontal="center" vertical="center"/>
    </xf>
    <xf numFmtId="4" fontId="22" fillId="3" borderId="5" xfId="0" quotePrefix="1" applyNumberFormat="1" applyFont="1" applyFill="1" applyBorder="1" applyAlignment="1">
      <alignment horizontal="right" vertical="center"/>
    </xf>
    <xf numFmtId="4" fontId="16" fillId="0" borderId="0" xfId="0" applyNumberFormat="1" applyFont="1" applyAlignment="1">
      <alignment horizontal="center" vertical="center"/>
    </xf>
    <xf numFmtId="3" fontId="18" fillId="0" borderId="3" xfId="0" applyNumberFormat="1" applyFont="1" applyBorder="1" applyAlignment="1">
      <alignment horizontal="center" vertical="center"/>
    </xf>
    <xf numFmtId="3" fontId="18" fillId="0" borderId="29" xfId="0" applyNumberFormat="1" applyFont="1" applyBorder="1" applyAlignment="1">
      <alignment horizontal="justify" vertical="center" wrapText="1"/>
    </xf>
    <xf numFmtId="174" fontId="0" fillId="0" borderId="35" xfId="0" applyBorder="1" applyAlignment="1">
      <alignment horizontal="justify" vertical="center" wrapText="1"/>
    </xf>
    <xf numFmtId="3" fontId="10" fillId="0" borderId="0" xfId="0" applyNumberFormat="1" applyFont="1" applyAlignment="1">
      <alignment horizontal="justify" vertical="center"/>
    </xf>
    <xf numFmtId="174" fontId="48" fillId="0" borderId="0" xfId="0" applyFont="1" applyAlignment="1">
      <alignment horizontal="justify" vertical="center"/>
    </xf>
    <xf numFmtId="3" fontId="18" fillId="0" borderId="51" xfId="0" applyNumberFormat="1" applyFont="1" applyBorder="1" applyAlignment="1">
      <alignment horizontal="justify" vertical="center"/>
    </xf>
    <xf numFmtId="174" fontId="0" fillId="0" borderId="21" xfId="0" applyBorder="1" applyAlignment="1">
      <alignment horizontal="justify" vertical="center"/>
    </xf>
    <xf numFmtId="4" fontId="41" fillId="0" borderId="0" xfId="0" applyNumberFormat="1" applyFont="1" applyAlignment="1">
      <alignment horizontal="center" vertical="center"/>
    </xf>
    <xf numFmtId="174" fontId="10" fillId="0" borderId="0" xfId="0" applyFont="1" applyAlignment="1">
      <alignment horizontal="center" vertical="center"/>
    </xf>
    <xf numFmtId="3" fontId="15" fillId="0" borderId="0" xfId="0" applyNumberFormat="1" applyFont="1" applyAlignment="1">
      <alignment horizontal="center" vertical="center"/>
    </xf>
    <xf numFmtId="3" fontId="11" fillId="0" borderId="3" xfId="0" applyNumberFormat="1" applyFont="1" applyBorder="1" applyAlignment="1">
      <alignment horizontal="center" vertical="center"/>
    </xf>
    <xf numFmtId="174" fontId="10" fillId="0" borderId="0" xfId="0" applyFont="1" applyAlignment="1">
      <alignment horizontal="justify" vertical="center" wrapText="1"/>
    </xf>
    <xf numFmtId="3" fontId="11" fillId="4" borderId="85" xfId="0" applyNumberFormat="1" applyFont="1" applyFill="1" applyBorder="1" applyAlignment="1">
      <alignment horizontal="justify" vertical="center" wrapText="1"/>
    </xf>
    <xf numFmtId="174" fontId="0" fillId="0" borderId="87" xfId="0" applyBorder="1" applyAlignment="1">
      <alignment horizontal="justify" vertical="center" wrapText="1"/>
    </xf>
    <xf numFmtId="3" fontId="18" fillId="0" borderId="32" xfId="0" applyNumberFormat="1" applyFont="1" applyBorder="1" applyAlignment="1">
      <alignment horizontal="justify" vertical="center" wrapText="1"/>
    </xf>
    <xf numFmtId="174" fontId="0" fillId="0" borderId="68" xfId="0" applyBorder="1" applyAlignment="1">
      <alignment horizontal="justify" vertical="center" wrapText="1"/>
    </xf>
    <xf numFmtId="3" fontId="11" fillId="0" borderId="0" xfId="0" applyNumberFormat="1" applyFont="1" applyAlignment="1">
      <alignment horizontal="justify" vertical="center"/>
    </xf>
    <xf numFmtId="174" fontId="11" fillId="4" borderId="85" xfId="0" applyFont="1" applyFill="1" applyBorder="1" applyAlignment="1">
      <alignment horizontal="justify" vertical="center"/>
    </xf>
    <xf numFmtId="174" fontId="11" fillId="4" borderId="87" xfId="0" applyFont="1" applyFill="1" applyBorder="1" applyAlignment="1">
      <alignment horizontal="justify" vertical="center"/>
    </xf>
    <xf numFmtId="4" fontId="45" fillId="9" borderId="0" xfId="20" applyNumberFormat="1" applyFont="1" applyFill="1" applyAlignment="1">
      <alignment horizontal="center" vertical="center"/>
    </xf>
    <xf numFmtId="0" fontId="10" fillId="3" borderId="50" xfId="33" applyFont="1" applyFill="1" applyBorder="1" applyAlignment="1">
      <alignment horizontal="center" vertical="center"/>
    </xf>
    <xf numFmtId="0" fontId="10" fillId="3" borderId="34" xfId="33" applyFont="1" applyFill="1" applyBorder="1" applyAlignment="1">
      <alignment horizontal="center" vertical="center"/>
    </xf>
    <xf numFmtId="0" fontId="10" fillId="3" borderId="53" xfId="33" applyFont="1" applyFill="1" applyBorder="1" applyAlignment="1">
      <alignment horizontal="center" vertical="center"/>
    </xf>
    <xf numFmtId="0" fontId="18" fillId="5" borderId="0" xfId="21" applyFont="1" applyFill="1" applyAlignment="1">
      <alignment horizontal="justify" vertical="center"/>
    </xf>
    <xf numFmtId="0" fontId="15" fillId="5" borderId="0" xfId="33" applyFont="1" applyFill="1" applyAlignment="1">
      <alignment horizontal="justify" vertical="center"/>
    </xf>
    <xf numFmtId="0" fontId="15" fillId="5" borderId="0" xfId="21" applyFont="1" applyFill="1" applyAlignment="1">
      <alignment horizontal="justify" vertical="center"/>
    </xf>
    <xf numFmtId="0" fontId="18" fillId="0" borderId="34" xfId="33" applyFont="1" applyBorder="1" applyAlignment="1">
      <alignment horizontal="center"/>
    </xf>
    <xf numFmtId="0" fontId="11" fillId="3" borderId="85" xfId="34" applyFont="1" applyFill="1" applyBorder="1" applyAlignment="1">
      <alignment horizontal="justify" vertical="center" wrapText="1"/>
    </xf>
    <xf numFmtId="0" fontId="11" fillId="3" borderId="34" xfId="34" applyFont="1" applyFill="1" applyBorder="1" applyAlignment="1">
      <alignment horizontal="justify" vertical="center" wrapText="1"/>
    </xf>
    <xf numFmtId="0" fontId="46" fillId="0" borderId="53" xfId="28" applyFont="1" applyBorder="1" applyAlignment="1">
      <alignment horizontal="justify" vertical="center" wrapText="1"/>
    </xf>
    <xf numFmtId="0" fontId="18" fillId="0" borderId="85" xfId="34" applyFont="1" applyBorder="1" applyAlignment="1">
      <alignment horizontal="justify" vertical="center" wrapText="1"/>
    </xf>
    <xf numFmtId="0" fontId="18" fillId="0" borderId="34" xfId="34" applyFont="1" applyBorder="1" applyAlignment="1">
      <alignment horizontal="justify" vertical="center" wrapText="1"/>
    </xf>
    <xf numFmtId="0" fontId="18" fillId="0" borderId="53" xfId="34" applyFont="1" applyBorder="1" applyAlignment="1">
      <alignment horizontal="justify" vertical="center" wrapText="1"/>
    </xf>
    <xf numFmtId="0" fontId="11" fillId="3" borderId="53" xfId="34" applyFont="1" applyFill="1" applyBorder="1" applyAlignment="1">
      <alignment horizontal="justify" vertical="center" wrapText="1"/>
    </xf>
    <xf numFmtId="0" fontId="11" fillId="3" borderId="85" xfId="33" applyFont="1" applyFill="1" applyBorder="1" applyAlignment="1">
      <alignment horizontal="justify" vertical="center" wrapText="1"/>
    </xf>
    <xf numFmtId="0" fontId="11" fillId="3" borderId="34" xfId="33" applyFont="1" applyFill="1" applyBorder="1" applyAlignment="1">
      <alignment horizontal="justify" vertical="center" wrapText="1"/>
    </xf>
    <xf numFmtId="0" fontId="11" fillId="3" borderId="53" xfId="33" applyFont="1" applyFill="1" applyBorder="1" applyAlignment="1">
      <alignment horizontal="justify" vertical="center" wrapText="1"/>
    </xf>
    <xf numFmtId="0" fontId="18" fillId="0" borderId="28" xfId="34" applyFont="1" applyBorder="1" applyAlignment="1">
      <alignment horizontal="justify" vertical="center" wrapText="1"/>
    </xf>
    <xf numFmtId="0" fontId="18" fillId="0" borderId="82" xfId="34" applyFont="1" applyBorder="1" applyAlignment="1">
      <alignment horizontal="justify" vertical="center" wrapText="1"/>
    </xf>
    <xf numFmtId="0" fontId="18" fillId="0" borderId="52" xfId="34" applyFont="1" applyBorder="1" applyAlignment="1">
      <alignment horizontal="justify" vertical="center" wrapText="1"/>
    </xf>
    <xf numFmtId="0" fontId="18" fillId="0" borderId="51" xfId="34" applyFont="1" applyBorder="1" applyAlignment="1">
      <alignment horizontal="justify" vertical="center" wrapText="1"/>
    </xf>
    <xf numFmtId="0" fontId="18" fillId="0" borderId="3" xfId="34" applyFont="1" applyBorder="1" applyAlignment="1">
      <alignment horizontal="justify" vertical="center" wrapText="1"/>
    </xf>
    <xf numFmtId="0" fontId="46" fillId="0" borderId="8" xfId="28" applyFont="1" applyBorder="1" applyAlignment="1">
      <alignment horizontal="justify" vertical="center" wrapText="1"/>
    </xf>
    <xf numFmtId="2" fontId="53" fillId="9" borderId="0" xfId="20" applyNumberFormat="1" applyFont="1" applyFill="1" applyAlignment="1">
      <alignment horizontal="left" vertical="center" wrapText="1"/>
    </xf>
    <xf numFmtId="0" fontId="12" fillId="0" borderId="39" xfId="10" applyFont="1" applyBorder="1" applyAlignment="1">
      <alignment horizontal="center" vertical="center"/>
    </xf>
    <xf numFmtId="0" fontId="12" fillId="0" borderId="37" xfId="10" applyFont="1" applyBorder="1" applyAlignment="1">
      <alignment horizontal="center" vertical="center"/>
    </xf>
    <xf numFmtId="0" fontId="12" fillId="0" borderId="38" xfId="10" applyFont="1" applyBorder="1" applyAlignment="1">
      <alignment horizontal="center" vertical="center"/>
    </xf>
    <xf numFmtId="0" fontId="12" fillId="3" borderId="50" xfId="10" applyFont="1" applyFill="1" applyBorder="1" applyAlignment="1">
      <alignment horizontal="center" vertical="center" wrapText="1"/>
    </xf>
    <xf numFmtId="0" fontId="12" fillId="3" borderId="53" xfId="10" applyFont="1" applyFill="1" applyBorder="1" applyAlignment="1">
      <alignment horizontal="center" vertical="center" wrapText="1"/>
    </xf>
    <xf numFmtId="0" fontId="11" fillId="3" borderId="39" xfId="10" applyFont="1" applyFill="1" applyBorder="1" applyAlignment="1">
      <alignment horizontal="center" vertical="center" wrapText="1"/>
    </xf>
    <xf numFmtId="0" fontId="11" fillId="3" borderId="88" xfId="10" applyFont="1" applyFill="1" applyBorder="1" applyAlignment="1">
      <alignment horizontal="center" vertical="center" wrapText="1"/>
    </xf>
    <xf numFmtId="0" fontId="27" fillId="0" borderId="0" xfId="10" applyFont="1" applyAlignment="1">
      <alignment horizontal="center" vertical="center"/>
    </xf>
    <xf numFmtId="0" fontId="11" fillId="0" borderId="50" xfId="10" applyFont="1" applyBorder="1" applyAlignment="1">
      <alignment horizontal="justify" vertical="center" wrapText="1"/>
    </xf>
    <xf numFmtId="0" fontId="11" fillId="0" borderId="34" xfId="10" applyFont="1" applyBorder="1" applyAlignment="1">
      <alignment horizontal="justify" vertical="center" wrapText="1"/>
    </xf>
    <xf numFmtId="0" fontId="11" fillId="0" borderId="53" xfId="10" applyFont="1" applyBorder="1" applyAlignment="1">
      <alignment horizontal="justify" vertical="center" wrapText="1"/>
    </xf>
    <xf numFmtId="0" fontId="10" fillId="3" borderId="18" xfId="10" applyFont="1" applyFill="1" applyBorder="1" applyAlignment="1">
      <alignment horizontal="center" vertical="center"/>
    </xf>
    <xf numFmtId="0" fontId="10" fillId="3" borderId="1" xfId="10" applyFont="1" applyFill="1" applyBorder="1" applyAlignment="1">
      <alignment horizontal="center" vertical="center"/>
    </xf>
    <xf numFmtId="0" fontId="10" fillId="3" borderId="2" xfId="10" applyFont="1" applyFill="1" applyBorder="1" applyAlignment="1">
      <alignment horizontal="center" vertical="center"/>
    </xf>
    <xf numFmtId="0" fontId="10" fillId="3" borderId="18" xfId="10" applyFont="1" applyFill="1" applyBorder="1" applyAlignment="1">
      <alignment horizontal="center" vertical="center" wrapText="1"/>
    </xf>
    <xf numFmtId="0" fontId="10" fillId="3" borderId="1" xfId="10" applyFont="1" applyFill="1" applyBorder="1" applyAlignment="1">
      <alignment horizontal="center" vertical="center" wrapText="1"/>
    </xf>
    <xf numFmtId="0" fontId="10" fillId="3" borderId="2" xfId="10" applyFont="1" applyFill="1" applyBorder="1" applyAlignment="1">
      <alignment horizontal="center" vertical="center" wrapText="1"/>
    </xf>
    <xf numFmtId="0" fontId="41" fillId="0" borderId="0" xfId="10" applyFont="1" applyAlignment="1">
      <alignment horizontal="center" vertical="center"/>
    </xf>
    <xf numFmtId="0" fontId="54" fillId="0" borderId="0" xfId="10" applyFont="1" applyAlignment="1">
      <alignment horizontal="center"/>
    </xf>
    <xf numFmtId="0" fontId="54" fillId="0" borderId="0" xfId="10" applyFont="1"/>
    <xf numFmtId="0" fontId="54" fillId="0" borderId="3" xfId="10" applyFont="1" applyBorder="1" applyAlignment="1">
      <alignment horizontal="center"/>
    </xf>
    <xf numFmtId="0" fontId="55" fillId="0" borderId="50" xfId="10" applyFont="1" applyBorder="1" applyAlignment="1">
      <alignment horizontal="center" vertical="center"/>
    </xf>
    <xf numFmtId="0" fontId="55" fillId="0" borderId="34" xfId="10" applyFont="1" applyBorder="1" applyAlignment="1">
      <alignment horizontal="center" vertical="center"/>
    </xf>
    <xf numFmtId="0" fontId="55" fillId="0" borderId="53" xfId="10" applyFont="1" applyBorder="1" applyAlignment="1">
      <alignment horizontal="center" vertical="center"/>
    </xf>
    <xf numFmtId="0" fontId="54" fillId="0" borderId="18" xfId="10" applyFont="1" applyBorder="1"/>
    <xf numFmtId="0" fontId="54" fillId="0" borderId="19" xfId="10" applyFont="1" applyBorder="1"/>
    <xf numFmtId="0" fontId="54" fillId="0" borderId="20" xfId="10" applyFont="1" applyBorder="1"/>
    <xf numFmtId="0" fontId="55" fillId="0" borderId="80" xfId="10" quotePrefix="1" applyFont="1" applyBorder="1"/>
    <xf numFmtId="0" fontId="54" fillId="0" borderId="71" xfId="10" applyFont="1" applyBorder="1"/>
    <xf numFmtId="0" fontId="54" fillId="0" borderId="81" xfId="10" applyFont="1" applyBorder="1"/>
    <xf numFmtId="0" fontId="54" fillId="0" borderId="1" xfId="10" applyFont="1" applyBorder="1"/>
    <xf numFmtId="0" fontId="54" fillId="0" borderId="7" xfId="10" applyFont="1" applyBorder="1"/>
    <xf numFmtId="0" fontId="54" fillId="0" borderId="80" xfId="10" applyFont="1" applyBorder="1" applyAlignment="1">
      <alignment horizontal="justify"/>
    </xf>
    <xf numFmtId="0" fontId="54" fillId="0" borderId="71" xfId="10" applyFont="1" applyBorder="1" applyAlignment="1">
      <alignment horizontal="justify"/>
    </xf>
    <xf numFmtId="0" fontId="54" fillId="0" borderId="81" xfId="10" applyFont="1" applyBorder="1" applyAlignment="1">
      <alignment horizontal="justify"/>
    </xf>
    <xf numFmtId="0" fontId="54" fillId="0" borderId="80" xfId="10" applyFont="1" applyBorder="1" applyAlignment="1">
      <alignment horizontal="justify" vertical="center" wrapText="1"/>
    </xf>
    <xf numFmtId="0" fontId="54" fillId="0" borderId="71" xfId="10" applyFont="1" applyBorder="1" applyAlignment="1">
      <alignment horizontal="justify" vertical="center" wrapText="1"/>
    </xf>
    <xf numFmtId="0" fontId="54" fillId="0" borderId="81" xfId="10" applyFont="1" applyBorder="1" applyAlignment="1">
      <alignment horizontal="justify" vertical="center" wrapText="1"/>
    </xf>
    <xf numFmtId="0" fontId="54" fillId="0" borderId="0" xfId="10" applyFont="1" applyAlignment="1">
      <alignment horizontal="justify"/>
    </xf>
    <xf numFmtId="0" fontId="55" fillId="0" borderId="1" xfId="10" applyFont="1" applyBorder="1" applyAlignment="1">
      <alignment vertical="center" wrapText="1"/>
    </xf>
    <xf numFmtId="0" fontId="55" fillId="0" borderId="7" xfId="10" applyFont="1" applyBorder="1" applyAlignment="1">
      <alignment vertical="center" wrapText="1"/>
    </xf>
    <xf numFmtId="164" fontId="54" fillId="0" borderId="0" xfId="35" applyNumberFormat="1" applyFont="1" applyAlignment="1">
      <alignment vertical="center"/>
    </xf>
    <xf numFmtId="0" fontId="8" fillId="0" borderId="0" xfId="10" applyAlignment="1">
      <alignment vertical="center"/>
    </xf>
    <xf numFmtId="49" fontId="54" fillId="0" borderId="0" xfId="35" applyNumberFormat="1" applyFont="1" applyAlignment="1">
      <alignment vertical="center"/>
    </xf>
    <xf numFmtId="0" fontId="54" fillId="0" borderId="0" xfId="10" applyFont="1" applyBorder="1"/>
    <xf numFmtId="0" fontId="55" fillId="0" borderId="0" xfId="10" applyFont="1" applyBorder="1" applyAlignment="1">
      <alignment vertical="center" wrapText="1"/>
    </xf>
    <xf numFmtId="0" fontId="55" fillId="0" borderId="2" xfId="10" applyFont="1" applyBorder="1" applyAlignment="1">
      <alignment horizontal="center" vertical="center" wrapText="1"/>
    </xf>
    <xf numFmtId="0" fontId="55" fillId="0" borderId="3" xfId="10" applyFont="1" applyBorder="1" applyAlignment="1">
      <alignment vertical="center" wrapText="1"/>
    </xf>
    <xf numFmtId="0" fontId="55" fillId="0" borderId="8" xfId="10" applyFont="1" applyBorder="1" applyAlignment="1">
      <alignment vertical="center" wrapText="1"/>
    </xf>
  </cellXfs>
  <cellStyles count="36">
    <cellStyle name="Moeda" xfId="1" builtinId="4"/>
    <cellStyle name="Moeda_Anexo 02 - Orçamento e Cronograma Reforma ETA - Final - Revisão 3" xfId="2" xr:uid="{00000000-0005-0000-0000-000001000000}"/>
    <cellStyle name="Moeda_INSUMOS SeMAE" xfId="3" xr:uid="{00000000-0005-0000-0000-000002000000}"/>
    <cellStyle name="Normal" xfId="0" builtinId="0"/>
    <cellStyle name="Normal 10" xfId="28" xr:uid="{00000000-0005-0000-0000-000004000000}"/>
    <cellStyle name="Normal 19 6 2" xfId="27" xr:uid="{00000000-0005-0000-0000-000005000000}"/>
    <cellStyle name="Normal 19 6 2 2" xfId="32" xr:uid="{00000000-0005-0000-0000-000006000000}"/>
    <cellStyle name="Normal 2" xfId="9" xr:uid="{00000000-0005-0000-0000-000007000000}"/>
    <cellStyle name="Normal 2 2" xfId="10" xr:uid="{00000000-0005-0000-0000-000008000000}"/>
    <cellStyle name="Normal 2 2 6" xfId="11" xr:uid="{00000000-0005-0000-0000-000009000000}"/>
    <cellStyle name="Normal 2 4" xfId="24" xr:uid="{00000000-0005-0000-0000-00000A000000}"/>
    <cellStyle name="Normal 2 7" xfId="25" xr:uid="{00000000-0005-0000-0000-00000B000000}"/>
    <cellStyle name="Normal 26" xfId="35" xr:uid="{2E8EEC83-A7C5-4EDA-8D37-7203DD4B41AB}"/>
    <cellStyle name="Normal 3" xfId="12" xr:uid="{00000000-0005-0000-0000-00000C000000}"/>
    <cellStyle name="Normal 3 2 2" xfId="13" xr:uid="{00000000-0005-0000-0000-00000D000000}"/>
    <cellStyle name="Normal 3 2 2 2" xfId="23" xr:uid="{00000000-0005-0000-0000-00000E000000}"/>
    <cellStyle name="Normal 3 2 2 2 2" xfId="31" xr:uid="{00000000-0005-0000-0000-00000F000000}"/>
    <cellStyle name="Normal 4" xfId="14" xr:uid="{00000000-0005-0000-0000-000010000000}"/>
    <cellStyle name="Normal 4 2" xfId="15" xr:uid="{00000000-0005-0000-0000-000011000000}"/>
    <cellStyle name="Normal 5" xfId="16" xr:uid="{00000000-0005-0000-0000-000012000000}"/>
    <cellStyle name="Normal 5 2" xfId="18" xr:uid="{00000000-0005-0000-0000-000013000000}"/>
    <cellStyle name="Normal 6" xfId="7" xr:uid="{00000000-0005-0000-0000-000014000000}"/>
    <cellStyle name="Normal 7" xfId="17" xr:uid="{00000000-0005-0000-0000-000015000000}"/>
    <cellStyle name="Normal 8" xfId="19" xr:uid="{00000000-0005-0000-0000-000016000000}"/>
    <cellStyle name="Normal 8 2 10" xfId="30" xr:uid="{00000000-0005-0000-0000-000017000000}"/>
    <cellStyle name="Normal 9" xfId="21" xr:uid="{00000000-0005-0000-0000-000018000000}"/>
    <cellStyle name="Normal 9 2" xfId="29" xr:uid="{00000000-0005-0000-0000-000019000000}"/>
    <cellStyle name="Normal 9 2 2" xfId="34" xr:uid="{00000000-0005-0000-0000-00001A000000}"/>
    <cellStyle name="Normal 9 3" xfId="33" xr:uid="{00000000-0005-0000-0000-00001B000000}"/>
    <cellStyle name="Normal_Bombinhas_SES_ABR_04" xfId="20" xr:uid="{00000000-0005-0000-0000-00001C000000}"/>
    <cellStyle name="Porcentagem" xfId="4" builtinId="5"/>
    <cellStyle name="Porcentagem 2" xfId="8" xr:uid="{00000000-0005-0000-0000-00001E000000}"/>
    <cellStyle name="Porcentagem 2 2" xfId="26" xr:uid="{00000000-0005-0000-0000-00001F000000}"/>
    <cellStyle name="Porcentagem 3" xfId="22" xr:uid="{00000000-0005-0000-0000-000020000000}"/>
    <cellStyle name="Separador de milhares_ANEXO 02, 03, 06, 08 e 10 - Floresta Park - Concreto" xfId="6" xr:uid="{00000000-0005-0000-0000-000021000000}"/>
    <cellStyle name="Vírgula" xfId="5" builtinId="3"/>
  </cellStyles>
  <dxfs count="0"/>
  <tableStyles count="0" defaultTableStyle="TableStyleMedium9" defaultPivotStyle="PivotStyleLight16"/>
  <colors>
    <mruColors>
      <color rgb="FFFFFFCC"/>
      <color rgb="FFFFFFE1"/>
      <color rgb="FFEBFFFF"/>
      <color rgb="FFFFFF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484308</xdr:colOff>
      <xdr:row>0</xdr:row>
      <xdr:rowOff>47337</xdr:rowOff>
    </xdr:from>
    <xdr:to>
      <xdr:col>6</xdr:col>
      <xdr:colOff>119423</xdr:colOff>
      <xdr:row>1</xdr:row>
      <xdr:rowOff>510886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4996644-D747-416A-82F9-C0E74247798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882" t="36955" r="4706" b="20812"/>
        <a:stretch/>
      </xdr:blipFill>
      <xdr:spPr bwMode="auto">
        <a:xfrm>
          <a:off x="2313108" y="47337"/>
          <a:ext cx="1463915" cy="62547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95254</xdr:colOff>
      <xdr:row>31</xdr:row>
      <xdr:rowOff>116418</xdr:rowOff>
    </xdr:from>
    <xdr:to>
      <xdr:col>2</xdr:col>
      <xdr:colOff>2590800</xdr:colOff>
      <xdr:row>34</xdr:row>
      <xdr:rowOff>52919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5608AC60-0E78-4ABB-9FB5-29ABF81F1C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4" y="8765118"/>
          <a:ext cx="4029071" cy="4222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6</xdr:row>
      <xdr:rowOff>0</xdr:rowOff>
    </xdr:from>
    <xdr:to>
      <xdr:col>1</xdr:col>
      <xdr:colOff>971550</xdr:colOff>
      <xdr:row>6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61975" y="0"/>
          <a:ext cx="923925" cy="0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_ARQUIVOS%20SEMAE\PREENCHIMENTO.xlsx" TargetMode="External"/><Relationship Id="rId1" Type="http://schemas.openxmlformats.org/officeDocument/2006/relationships/externalLinkPath" Target="file:///D:\_ARQUIVOS%20SEMAE\PREENCHIMENT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REENCHIMENTO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lnDef>
      <a:spPr>
        <a:ln w="19050">
          <a:solidFill>
            <a:schemeClr val="tx1"/>
          </a:solidFill>
          <a:headEnd type="triangle"/>
          <a:tailEnd type="triangle"/>
        </a:ln>
      </a:spPr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>
        <a:solidFill>
          <a:schemeClr val="lt1"/>
        </a:solidFill>
        <a:ln w="19050" cmpd="sng">
          <a:solidFill>
            <a:schemeClr val="tx1"/>
          </a:solidFill>
        </a:ln>
      </a:spPr>
      <a:bodyPr vertOverflow="clip" wrap="square" rtlCol="0" anchor="ctr" anchorCtr="0"/>
      <a:lstStyle>
        <a:defPPr algn="ctr">
          <a:defRPr sz="1100"/>
        </a:def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7DF43-4BF0-462C-9FFF-780C420747E8}">
  <dimension ref="A1:M45"/>
  <sheetViews>
    <sheetView view="pageBreakPreview" zoomScale="110" zoomScaleNormal="100" zoomScaleSheetLayoutView="110" workbookViewId="0">
      <selection activeCell="A24" sqref="A24:J27"/>
    </sheetView>
  </sheetViews>
  <sheetFormatPr defaultRowHeight="12.75" x14ac:dyDescent="0.2"/>
  <cols>
    <col min="1" max="16384" width="9.140625" style="689"/>
  </cols>
  <sheetData>
    <row r="1" spans="1:10" x14ac:dyDescent="0.2">
      <c r="A1" s="688"/>
      <c r="B1" s="688"/>
      <c r="C1" s="688"/>
      <c r="D1" s="688"/>
      <c r="E1" s="688"/>
      <c r="F1" s="688"/>
      <c r="G1" s="688"/>
      <c r="H1" s="688"/>
      <c r="I1" s="688"/>
      <c r="J1" s="688"/>
    </row>
    <row r="2" spans="1:10" ht="46.5" customHeight="1" thickBot="1" x14ac:dyDescent="0.25">
      <c r="A2" s="690"/>
      <c r="B2" s="690"/>
      <c r="C2" s="690"/>
      <c r="D2" s="690"/>
      <c r="E2" s="690"/>
      <c r="F2" s="690"/>
      <c r="G2" s="690"/>
      <c r="H2" s="690"/>
      <c r="I2" s="690"/>
      <c r="J2" s="690"/>
    </row>
    <row r="3" spans="1:10" ht="15.95" customHeight="1" thickBot="1" x14ac:dyDescent="0.25">
      <c r="A3" s="691" t="s">
        <v>159</v>
      </c>
      <c r="B3" s="692"/>
      <c r="C3" s="692"/>
      <c r="D3" s="692"/>
      <c r="E3" s="692"/>
      <c r="F3" s="692"/>
      <c r="G3" s="692"/>
      <c r="H3" s="692"/>
      <c r="I3" s="692"/>
      <c r="J3" s="693"/>
    </row>
    <row r="4" spans="1:10" ht="9.9499999999999993" customHeight="1" thickBot="1" x14ac:dyDescent="0.25"/>
    <row r="5" spans="1:10" ht="15" customHeight="1" x14ac:dyDescent="0.2">
      <c r="A5" s="694" t="s">
        <v>160</v>
      </c>
      <c r="B5" s="695"/>
      <c r="C5" s="695"/>
      <c r="D5" s="695"/>
      <c r="E5" s="695"/>
      <c r="F5" s="695"/>
      <c r="G5" s="695"/>
      <c r="H5" s="695"/>
      <c r="I5" s="695"/>
      <c r="J5" s="696"/>
    </row>
    <row r="6" spans="1:10" ht="14.1" customHeight="1" x14ac:dyDescent="0.2">
      <c r="A6" s="697" t="s">
        <v>162</v>
      </c>
      <c r="B6" s="698"/>
      <c r="C6" s="698"/>
      <c r="D6" s="698"/>
      <c r="E6" s="698"/>
      <c r="F6" s="698"/>
      <c r="G6" s="698"/>
      <c r="H6" s="698"/>
      <c r="I6" s="698"/>
      <c r="J6" s="699"/>
    </row>
    <row r="7" spans="1:10" ht="14.1" customHeight="1" x14ac:dyDescent="0.2">
      <c r="A7" s="697" t="s">
        <v>163</v>
      </c>
      <c r="B7" s="698"/>
      <c r="C7" s="698"/>
      <c r="D7" s="698"/>
      <c r="E7" s="698"/>
      <c r="F7" s="698"/>
      <c r="G7" s="698"/>
      <c r="H7" s="698"/>
      <c r="I7" s="698"/>
      <c r="J7" s="699"/>
    </row>
    <row r="8" spans="1:10" ht="14.1" customHeight="1" x14ac:dyDescent="0.2">
      <c r="A8" s="697" t="s">
        <v>164</v>
      </c>
      <c r="B8" s="698"/>
      <c r="C8" s="698"/>
      <c r="D8" s="698"/>
      <c r="E8" s="698"/>
      <c r="F8" s="698"/>
      <c r="G8" s="698"/>
      <c r="H8" s="698"/>
      <c r="I8" s="698"/>
      <c r="J8" s="699"/>
    </row>
    <row r="9" spans="1:10" ht="14.1" customHeight="1" x14ac:dyDescent="0.2">
      <c r="A9" s="697" t="s">
        <v>165</v>
      </c>
      <c r="B9" s="698"/>
      <c r="C9" s="698"/>
      <c r="D9" s="698"/>
      <c r="E9" s="698"/>
      <c r="F9" s="698"/>
      <c r="G9" s="698"/>
      <c r="H9" s="698"/>
      <c r="I9" s="698"/>
      <c r="J9" s="699"/>
    </row>
    <row r="10" spans="1:10" ht="14.1" customHeight="1" x14ac:dyDescent="0.2">
      <c r="A10" s="697" t="s">
        <v>166</v>
      </c>
      <c r="B10" s="698"/>
      <c r="C10" s="698"/>
      <c r="D10" s="698"/>
      <c r="E10" s="698"/>
      <c r="F10" s="698"/>
      <c r="G10" s="698"/>
      <c r="H10" s="698"/>
      <c r="I10" s="698"/>
      <c r="J10" s="699"/>
    </row>
    <row r="11" spans="1:10" ht="14.1" customHeight="1" x14ac:dyDescent="0.2">
      <c r="A11" s="697" t="s">
        <v>167</v>
      </c>
      <c r="B11" s="698"/>
      <c r="C11" s="698"/>
      <c r="D11" s="698"/>
      <c r="E11" s="698"/>
      <c r="F11" s="698"/>
      <c r="G11" s="698"/>
      <c r="H11" s="698"/>
      <c r="I11" s="698"/>
      <c r="J11" s="699"/>
    </row>
    <row r="12" spans="1:10" ht="9.9499999999999993" customHeight="1" x14ac:dyDescent="0.2">
      <c r="A12" s="700"/>
      <c r="B12" s="714"/>
      <c r="C12" s="714"/>
      <c r="D12" s="714"/>
      <c r="E12" s="714"/>
      <c r="F12" s="714"/>
      <c r="G12" s="714"/>
      <c r="H12" s="714"/>
      <c r="I12" s="714"/>
      <c r="J12" s="701"/>
    </row>
    <row r="13" spans="1:10" ht="14.1" customHeight="1" x14ac:dyDescent="0.2">
      <c r="A13" s="702" t="s">
        <v>161</v>
      </c>
      <c r="B13" s="703"/>
      <c r="C13" s="703"/>
      <c r="D13" s="703"/>
      <c r="E13" s="703"/>
      <c r="F13" s="703"/>
      <c r="G13" s="703"/>
      <c r="H13" s="703"/>
      <c r="I13" s="703"/>
      <c r="J13" s="704"/>
    </row>
    <row r="14" spans="1:10" ht="14.1" customHeight="1" x14ac:dyDescent="0.2">
      <c r="A14" s="702"/>
      <c r="B14" s="703"/>
      <c r="C14" s="703"/>
      <c r="D14" s="703"/>
      <c r="E14" s="703"/>
      <c r="F14" s="703"/>
      <c r="G14" s="703"/>
      <c r="H14" s="703"/>
      <c r="I14" s="703"/>
      <c r="J14" s="704"/>
    </row>
    <row r="15" spans="1:10" ht="14.1" customHeight="1" x14ac:dyDescent="0.2">
      <c r="A15" s="697" t="s">
        <v>162</v>
      </c>
      <c r="B15" s="698"/>
      <c r="C15" s="698"/>
      <c r="D15" s="698"/>
      <c r="E15" s="698"/>
      <c r="F15" s="698"/>
      <c r="G15" s="698"/>
      <c r="H15" s="698"/>
      <c r="I15" s="698"/>
      <c r="J15" s="699"/>
    </row>
    <row r="16" spans="1:10" ht="14.1" customHeight="1" x14ac:dyDescent="0.2">
      <c r="A16" s="697" t="s">
        <v>164</v>
      </c>
      <c r="B16" s="698"/>
      <c r="C16" s="698"/>
      <c r="D16" s="698"/>
      <c r="E16" s="698"/>
      <c r="F16" s="698"/>
      <c r="G16" s="698"/>
      <c r="H16" s="698"/>
      <c r="I16" s="698"/>
      <c r="J16" s="699"/>
    </row>
    <row r="17" spans="1:13" ht="14.1" customHeight="1" x14ac:dyDescent="0.2">
      <c r="A17" s="697" t="s">
        <v>165</v>
      </c>
      <c r="B17" s="698"/>
      <c r="C17" s="698"/>
      <c r="D17" s="698"/>
      <c r="E17" s="698"/>
      <c r="F17" s="698"/>
      <c r="G17" s="698"/>
      <c r="H17" s="698"/>
      <c r="I17" s="698"/>
      <c r="J17" s="699"/>
    </row>
    <row r="18" spans="1:13" ht="14.1" customHeight="1" x14ac:dyDescent="0.2">
      <c r="A18" s="697" t="s">
        <v>166</v>
      </c>
      <c r="B18" s="698"/>
      <c r="C18" s="698"/>
      <c r="D18" s="698"/>
      <c r="E18" s="698"/>
      <c r="F18" s="698"/>
      <c r="G18" s="698"/>
      <c r="H18" s="698"/>
      <c r="I18" s="698"/>
      <c r="J18" s="699"/>
    </row>
    <row r="19" spans="1:13" ht="14.1" customHeight="1" x14ac:dyDescent="0.2">
      <c r="A19" s="697" t="s">
        <v>167</v>
      </c>
      <c r="B19" s="698"/>
      <c r="C19" s="698"/>
      <c r="D19" s="698"/>
      <c r="E19" s="698"/>
      <c r="F19" s="698"/>
      <c r="G19" s="698"/>
      <c r="H19" s="698"/>
      <c r="I19" s="698"/>
      <c r="J19" s="699"/>
    </row>
    <row r="20" spans="1:13" ht="9.9499999999999993" customHeight="1" x14ac:dyDescent="0.2">
      <c r="A20" s="700"/>
      <c r="B20" s="714"/>
      <c r="C20" s="714"/>
      <c r="D20" s="714"/>
      <c r="E20" s="714"/>
      <c r="F20" s="714"/>
      <c r="G20" s="714"/>
      <c r="H20" s="714"/>
      <c r="I20" s="714"/>
      <c r="J20" s="701"/>
    </row>
    <row r="21" spans="1:13" ht="14.1" customHeight="1" x14ac:dyDescent="0.2">
      <c r="A21" s="702" t="s">
        <v>168</v>
      </c>
      <c r="B21" s="703"/>
      <c r="C21" s="703"/>
      <c r="D21" s="703"/>
      <c r="E21" s="703"/>
      <c r="F21" s="703"/>
      <c r="G21" s="703"/>
      <c r="H21" s="703"/>
      <c r="I21" s="703"/>
      <c r="J21" s="704"/>
    </row>
    <row r="22" spans="1:13" ht="14.1" customHeight="1" x14ac:dyDescent="0.2">
      <c r="A22" s="702"/>
      <c r="B22" s="703"/>
      <c r="C22" s="703"/>
      <c r="D22" s="703"/>
      <c r="E22" s="703"/>
      <c r="F22" s="703"/>
      <c r="G22" s="703"/>
      <c r="H22" s="703"/>
      <c r="I22" s="703"/>
      <c r="J22" s="704"/>
    </row>
    <row r="23" spans="1:13" ht="9.9499999999999993" customHeight="1" x14ac:dyDescent="0.2">
      <c r="A23" s="700"/>
      <c r="B23" s="714"/>
      <c r="C23" s="714"/>
      <c r="D23" s="714"/>
      <c r="E23" s="714"/>
      <c r="F23" s="714"/>
      <c r="G23" s="714"/>
      <c r="H23" s="714"/>
      <c r="I23" s="714"/>
      <c r="J23" s="701"/>
    </row>
    <row r="24" spans="1:13" ht="14.1" customHeight="1" x14ac:dyDescent="0.2">
      <c r="A24" s="705" t="s">
        <v>169</v>
      </c>
      <c r="B24" s="706"/>
      <c r="C24" s="706"/>
      <c r="D24" s="706"/>
      <c r="E24" s="706"/>
      <c r="F24" s="706"/>
      <c r="G24" s="706"/>
      <c r="H24" s="706"/>
      <c r="I24" s="706"/>
      <c r="J24" s="707"/>
    </row>
    <row r="25" spans="1:13" ht="14.1" customHeight="1" x14ac:dyDescent="0.2">
      <c r="A25" s="705"/>
      <c r="B25" s="706"/>
      <c r="C25" s="706"/>
      <c r="D25" s="706"/>
      <c r="E25" s="706"/>
      <c r="F25" s="706"/>
      <c r="G25" s="706"/>
      <c r="H25" s="706"/>
      <c r="I25" s="706"/>
      <c r="J25" s="707"/>
    </row>
    <row r="26" spans="1:13" ht="14.1" customHeight="1" x14ac:dyDescent="0.2">
      <c r="A26" s="705"/>
      <c r="B26" s="706"/>
      <c r="C26" s="706"/>
      <c r="D26" s="706"/>
      <c r="E26" s="706"/>
      <c r="F26" s="706"/>
      <c r="G26" s="706"/>
      <c r="H26" s="706"/>
      <c r="I26" s="706"/>
      <c r="J26" s="707"/>
    </row>
    <row r="27" spans="1:13" ht="14.1" customHeight="1" x14ac:dyDescent="0.2">
      <c r="A27" s="705"/>
      <c r="B27" s="706"/>
      <c r="C27" s="706"/>
      <c r="D27" s="706"/>
      <c r="E27" s="706"/>
      <c r="F27" s="706"/>
      <c r="G27" s="706"/>
      <c r="H27" s="706"/>
      <c r="I27" s="706"/>
      <c r="J27" s="707"/>
    </row>
    <row r="28" spans="1:13" ht="8.1" customHeight="1" x14ac:dyDescent="0.2">
      <c r="A28" s="700"/>
      <c r="B28" s="714"/>
      <c r="C28" s="714"/>
      <c r="D28" s="714"/>
      <c r="E28" s="714"/>
      <c r="F28" s="714"/>
      <c r="G28" s="714"/>
      <c r="H28" s="714"/>
      <c r="I28" s="714"/>
      <c r="J28" s="701"/>
    </row>
    <row r="29" spans="1:13" ht="14.1" customHeight="1" x14ac:dyDescent="0.2">
      <c r="A29" s="705" t="s">
        <v>170</v>
      </c>
      <c r="B29" s="706"/>
      <c r="C29" s="706"/>
      <c r="D29" s="706"/>
      <c r="E29" s="706"/>
      <c r="F29" s="706"/>
      <c r="G29" s="706"/>
      <c r="H29" s="706"/>
      <c r="I29" s="706"/>
      <c r="J29" s="707"/>
    </row>
    <row r="30" spans="1:13" ht="14.1" customHeight="1" x14ac:dyDescent="0.2">
      <c r="A30" s="705"/>
      <c r="B30" s="706"/>
      <c r="C30" s="706"/>
      <c r="D30" s="706"/>
      <c r="E30" s="706"/>
      <c r="F30" s="706"/>
      <c r="G30" s="706"/>
      <c r="H30" s="706"/>
      <c r="I30" s="706"/>
      <c r="J30" s="707"/>
      <c r="M30" s="708"/>
    </row>
    <row r="31" spans="1:13" ht="14.1" customHeight="1" x14ac:dyDescent="0.2">
      <c r="A31" s="705"/>
      <c r="B31" s="706"/>
      <c r="C31" s="706"/>
      <c r="D31" s="706"/>
      <c r="E31" s="706"/>
      <c r="F31" s="706"/>
      <c r="G31" s="706"/>
      <c r="H31" s="706"/>
      <c r="I31" s="706"/>
      <c r="J31" s="707"/>
    </row>
    <row r="32" spans="1:13" ht="14.1" customHeight="1" x14ac:dyDescent="0.2">
      <c r="A32" s="705"/>
      <c r="B32" s="706"/>
      <c r="C32" s="706"/>
      <c r="D32" s="706"/>
      <c r="E32" s="706"/>
      <c r="F32" s="706"/>
      <c r="G32" s="706"/>
      <c r="H32" s="706"/>
      <c r="I32" s="706"/>
      <c r="J32" s="707"/>
    </row>
    <row r="33" spans="1:12" ht="8.1" customHeight="1" x14ac:dyDescent="0.2">
      <c r="A33" s="700"/>
      <c r="B33" s="714"/>
      <c r="C33" s="714"/>
      <c r="D33" s="714"/>
      <c r="E33" s="714"/>
      <c r="F33" s="714"/>
      <c r="G33" s="714"/>
      <c r="H33" s="714"/>
      <c r="I33" s="714"/>
      <c r="J33" s="701"/>
    </row>
    <row r="34" spans="1:12" ht="14.1" customHeight="1" x14ac:dyDescent="0.2">
      <c r="A34" s="705" t="s">
        <v>171</v>
      </c>
      <c r="B34" s="706"/>
      <c r="C34" s="706"/>
      <c r="D34" s="706"/>
      <c r="E34" s="706"/>
      <c r="F34" s="706"/>
      <c r="G34" s="706"/>
      <c r="H34" s="706"/>
      <c r="I34" s="706"/>
      <c r="J34" s="707"/>
    </row>
    <row r="35" spans="1:12" ht="14.1" customHeight="1" x14ac:dyDescent="0.2">
      <c r="A35" s="705"/>
      <c r="B35" s="706"/>
      <c r="C35" s="706"/>
      <c r="D35" s="706"/>
      <c r="E35" s="706"/>
      <c r="F35" s="706"/>
      <c r="G35" s="706"/>
      <c r="H35" s="706"/>
      <c r="I35" s="706"/>
      <c r="J35" s="707"/>
    </row>
    <row r="36" spans="1:12" ht="8.1" customHeight="1" x14ac:dyDescent="0.2">
      <c r="A36" s="709"/>
      <c r="B36" s="715"/>
      <c r="C36" s="715"/>
      <c r="D36" s="715"/>
      <c r="E36" s="715"/>
      <c r="F36" s="715"/>
      <c r="G36" s="715"/>
      <c r="H36" s="715"/>
      <c r="I36" s="715"/>
      <c r="J36" s="710"/>
    </row>
    <row r="37" spans="1:12" ht="8.1" customHeight="1" thickBot="1" x14ac:dyDescent="0.25">
      <c r="A37" s="716"/>
      <c r="B37" s="717"/>
      <c r="C37" s="717"/>
      <c r="D37" s="717"/>
      <c r="E37" s="717"/>
      <c r="F37" s="717"/>
      <c r="G37" s="717"/>
      <c r="H37" s="717"/>
      <c r="I37" s="717"/>
      <c r="J37" s="718"/>
    </row>
    <row r="38" spans="1:12" ht="21" customHeight="1" x14ac:dyDescent="0.2">
      <c r="A38"/>
      <c r="B38"/>
      <c r="C38"/>
      <c r="D38"/>
      <c r="E38"/>
      <c r="F38"/>
      <c r="G38"/>
      <c r="H38"/>
      <c r="I38"/>
      <c r="J38"/>
      <c r="K38"/>
      <c r="L38"/>
    </row>
    <row r="39" spans="1:12" ht="23.25" customHeight="1" x14ac:dyDescent="0.2">
      <c r="A39"/>
      <c r="B39"/>
      <c r="C39"/>
      <c r="D39"/>
      <c r="E39"/>
      <c r="F39"/>
      <c r="G39"/>
      <c r="H39"/>
      <c r="I39"/>
      <c r="J39"/>
      <c r="K39"/>
      <c r="L39"/>
    </row>
    <row r="40" spans="1:12" x14ac:dyDescent="0.2">
      <c r="A40"/>
      <c r="B40"/>
      <c r="C40"/>
      <c r="D40"/>
      <c r="E40"/>
      <c r="F40"/>
      <c r="G40"/>
      <c r="H40"/>
      <c r="I40"/>
      <c r="J40"/>
      <c r="K40"/>
      <c r="L40"/>
    </row>
    <row r="41" spans="1:12" x14ac:dyDescent="0.2">
      <c r="A41" s="711"/>
      <c r="B41" s="712"/>
      <c r="C41" s="712"/>
      <c r="D41" s="712"/>
      <c r="E41" s="712"/>
      <c r="F41" s="712"/>
      <c r="G41" s="712"/>
      <c r="H41" s="712"/>
      <c r="I41" s="712"/>
      <c r="J41" s="712"/>
    </row>
    <row r="42" spans="1:12" x14ac:dyDescent="0.2">
      <c r="A42" s="711"/>
      <c r="B42" s="712"/>
      <c r="C42" s="712"/>
      <c r="D42" s="712"/>
      <c r="E42" s="712"/>
      <c r="F42" s="712"/>
      <c r="G42" s="712"/>
      <c r="H42" s="712"/>
      <c r="I42" s="712"/>
      <c r="J42" s="712"/>
      <c r="K42" s="713"/>
      <c r="L42" s="713"/>
    </row>
    <row r="43" spans="1:12" x14ac:dyDescent="0.2">
      <c r="A43" s="711"/>
      <c r="B43" s="712"/>
      <c r="C43" s="712"/>
      <c r="D43" s="712"/>
      <c r="E43" s="712"/>
      <c r="F43" s="712"/>
      <c r="G43" s="712"/>
      <c r="H43" s="712"/>
      <c r="I43" s="712"/>
      <c r="J43" s="712"/>
      <c r="K43" s="713"/>
      <c r="L43" s="713"/>
    </row>
    <row r="44" spans="1:12" x14ac:dyDescent="0.2">
      <c r="A44" s="711"/>
      <c r="B44" s="713"/>
      <c r="C44" s="713"/>
      <c r="D44" s="713"/>
      <c r="E44" s="713"/>
      <c r="F44" s="713"/>
      <c r="G44" s="713"/>
      <c r="H44" s="713"/>
      <c r="I44" s="713"/>
      <c r="J44" s="713"/>
      <c r="K44" s="713"/>
      <c r="L44" s="713"/>
    </row>
    <row r="45" spans="1:12" x14ac:dyDescent="0.2">
      <c r="A45" s="711"/>
      <c r="B45" s="713"/>
      <c r="C45" s="713"/>
      <c r="D45" s="713"/>
      <c r="E45" s="713"/>
      <c r="F45" s="713"/>
      <c r="G45" s="713"/>
      <c r="H45" s="713"/>
      <c r="I45" s="713"/>
      <c r="J45" s="713"/>
      <c r="K45" s="713"/>
      <c r="L45" s="713"/>
    </row>
  </sheetData>
  <sheetProtection algorithmName="SHA-512" hashValue="N/l54P1yl0TjSySdbzzdi1w6zcCHfUfLKMAnwl3JxgAA+BkuYUJfIpHB7giZED3g+VDmTnWHCCfqxRBfScU1kg==" saltValue="E0T2OAchpi0ntROi5HUyjQ==" spinCount="100000" sheet="1" objects="1" scenarios="1" selectLockedCells="1"/>
  <mergeCells count="7">
    <mergeCell ref="A34:J35"/>
    <mergeCell ref="A1:J2"/>
    <mergeCell ref="A3:J3"/>
    <mergeCell ref="A13:J14"/>
    <mergeCell ref="A21:J22"/>
    <mergeCell ref="A24:J27"/>
    <mergeCell ref="A29:J32"/>
  </mergeCells>
  <pageMargins left="0.511811024" right="0.511811024" top="0.39" bottom="0.38" header="0.31496062000000002" footer="0.31496062000000002"/>
  <pageSetup orientation="portrait" horizont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1"/>
  <dimension ref="A1:AA71"/>
  <sheetViews>
    <sheetView showGridLines="0" tabSelected="1" view="pageBreakPreview" zoomScale="90" zoomScaleNormal="76" zoomScaleSheetLayoutView="90" workbookViewId="0">
      <selection activeCell="F62" sqref="F62:H62"/>
    </sheetView>
  </sheetViews>
  <sheetFormatPr defaultRowHeight="16.5" x14ac:dyDescent="0.2"/>
  <cols>
    <col min="1" max="1" width="6.7109375" style="122" customWidth="1"/>
    <col min="2" max="2" width="118.28515625" style="121" customWidth="1"/>
    <col min="3" max="3" width="8.28515625" style="122" customWidth="1"/>
    <col min="4" max="4" width="9.7109375" style="168" customWidth="1"/>
    <col min="5" max="5" width="12.28515625" style="208" customWidth="1"/>
    <col min="6" max="6" width="14.7109375" style="123" customWidth="1"/>
    <col min="7" max="7" width="17.28515625" style="123" customWidth="1"/>
    <col min="8" max="8" width="14.7109375" style="123" customWidth="1"/>
    <col min="9" max="9" width="22.85546875" style="208" customWidth="1"/>
    <col min="10" max="10" width="11.7109375" style="170" bestFit="1" customWidth="1"/>
    <col min="11" max="11" width="22.28515625" style="111" customWidth="1"/>
    <col min="12" max="12" width="11.42578125" style="112" customWidth="1"/>
    <col min="13" max="13" width="9.42578125" style="113" customWidth="1"/>
    <col min="14" max="14" width="5.42578125" style="132" customWidth="1"/>
    <col min="15" max="15" width="29.7109375" style="115" customWidth="1"/>
    <col min="16" max="16" width="11.5703125" style="115" customWidth="1"/>
    <col min="17" max="17" width="10.28515625" customWidth="1"/>
    <col min="18" max="18" width="8.85546875" bestFit="1" customWidth="1"/>
    <col min="28" max="16384" width="9.140625" style="116"/>
  </cols>
  <sheetData>
    <row r="1" spans="1:14" ht="11.25" customHeight="1" x14ac:dyDescent="0.2">
      <c r="A1" s="424" t="s">
        <v>150</v>
      </c>
      <c r="B1" s="425"/>
      <c r="C1" s="425"/>
      <c r="D1" s="425"/>
      <c r="E1" s="425"/>
      <c r="F1" s="425"/>
      <c r="G1" s="425"/>
      <c r="H1" s="425"/>
      <c r="I1" s="425"/>
      <c r="J1" s="426"/>
      <c r="N1" s="114"/>
    </row>
    <row r="2" spans="1:14" ht="14.1" customHeight="1" x14ac:dyDescent="0.2">
      <c r="A2" s="427"/>
      <c r="B2" s="428"/>
      <c r="C2" s="428"/>
      <c r="D2" s="428"/>
      <c r="E2" s="428"/>
      <c r="F2" s="428"/>
      <c r="G2" s="428"/>
      <c r="H2" s="428"/>
      <c r="I2" s="428"/>
      <c r="J2" s="429"/>
      <c r="N2" s="114"/>
    </row>
    <row r="3" spans="1:14" ht="2.25" customHeight="1" x14ac:dyDescent="0.2">
      <c r="A3" s="427"/>
      <c r="B3" s="428"/>
      <c r="C3" s="428"/>
      <c r="D3" s="428"/>
      <c r="E3" s="428"/>
      <c r="F3" s="428"/>
      <c r="G3" s="428"/>
      <c r="H3" s="428"/>
      <c r="I3" s="428"/>
      <c r="J3" s="429"/>
      <c r="N3" s="114"/>
    </row>
    <row r="4" spans="1:14" x14ac:dyDescent="0.2">
      <c r="A4" s="427"/>
      <c r="B4" s="428"/>
      <c r="C4" s="428"/>
      <c r="D4" s="428"/>
      <c r="E4" s="428"/>
      <c r="F4" s="428"/>
      <c r="G4" s="428"/>
      <c r="H4" s="428"/>
      <c r="I4" s="428"/>
      <c r="J4" s="429"/>
      <c r="N4" s="114"/>
    </row>
    <row r="5" spans="1:14" ht="6" customHeight="1" x14ac:dyDescent="0.2">
      <c r="A5" s="117"/>
      <c r="B5" s="118"/>
      <c r="C5" s="118"/>
      <c r="D5" s="118"/>
      <c r="E5" s="118"/>
      <c r="F5" s="118"/>
      <c r="G5" s="118"/>
      <c r="H5" s="118"/>
      <c r="I5" s="118"/>
      <c r="J5" s="119"/>
      <c r="N5" s="114"/>
    </row>
    <row r="6" spans="1:14" ht="3" customHeight="1" x14ac:dyDescent="0.2">
      <c r="A6" s="120"/>
      <c r="D6" s="123"/>
      <c r="E6" s="116"/>
      <c r="I6" s="116"/>
      <c r="J6" s="124"/>
      <c r="N6" s="114"/>
    </row>
    <row r="7" spans="1:14" ht="15.75" customHeight="1" x14ac:dyDescent="0.2">
      <c r="A7" s="510" t="s">
        <v>151</v>
      </c>
      <c r="B7" s="511"/>
      <c r="C7" s="511"/>
      <c r="D7" s="511"/>
      <c r="E7" s="511"/>
      <c r="F7" s="511"/>
      <c r="G7" s="511"/>
      <c r="H7" s="511"/>
      <c r="I7" s="511"/>
      <c r="J7" s="512"/>
      <c r="N7" s="114"/>
    </row>
    <row r="8" spans="1:14" ht="3" customHeight="1" thickBot="1" x14ac:dyDescent="0.25">
      <c r="A8" s="126"/>
      <c r="B8" s="127"/>
      <c r="C8" s="128"/>
      <c r="D8" s="129"/>
      <c r="E8" s="130"/>
      <c r="F8" s="129"/>
      <c r="G8" s="129"/>
      <c r="H8" s="129"/>
      <c r="I8" s="130"/>
      <c r="J8" s="131"/>
      <c r="N8" s="114"/>
    </row>
    <row r="9" spans="1:14" ht="24" customHeight="1" thickBot="1" x14ac:dyDescent="0.25">
      <c r="A9" s="487" t="s">
        <v>142</v>
      </c>
      <c r="B9" s="488"/>
      <c r="C9" s="488"/>
      <c r="D9" s="488"/>
      <c r="E9" s="488"/>
      <c r="F9" s="488"/>
      <c r="G9" s="488"/>
      <c r="H9" s="488"/>
      <c r="I9" s="488"/>
      <c r="J9" s="489"/>
    </row>
    <row r="10" spans="1:14" ht="15" customHeight="1" x14ac:dyDescent="0.2">
      <c r="A10" s="490"/>
      <c r="B10" s="492" t="s">
        <v>49</v>
      </c>
      <c r="C10" s="493"/>
      <c r="D10" s="493"/>
      <c r="E10" s="494"/>
      <c r="F10" s="498">
        <f>'8.A'!$C$49</f>
        <v>0</v>
      </c>
      <c r="G10" s="499"/>
      <c r="H10" s="499"/>
      <c r="I10" s="485" t="s">
        <v>50</v>
      </c>
      <c r="J10" s="522">
        <v>45488</v>
      </c>
    </row>
    <row r="11" spans="1:14" ht="15" customHeight="1" thickBot="1" x14ac:dyDescent="0.25">
      <c r="A11" s="491"/>
      <c r="B11" s="495" t="str">
        <f>"BDI - M.O / SERV. / MAT. COMUNS"</f>
        <v>BDI - M.O / SERV. / MAT. COMUNS</v>
      </c>
      <c r="C11" s="496"/>
      <c r="D11" s="496"/>
      <c r="E11" s="497"/>
      <c r="F11" s="500">
        <f>'7.A'!$E$31</f>
        <v>0</v>
      </c>
      <c r="G11" s="501"/>
      <c r="H11" s="501"/>
      <c r="I11" s="486"/>
      <c r="J11" s="523"/>
    </row>
    <row r="12" spans="1:14" ht="5.0999999999999996" customHeight="1" x14ac:dyDescent="0.2">
      <c r="A12" s="133"/>
      <c r="B12" s="133"/>
      <c r="C12" s="133"/>
      <c r="D12" s="133"/>
      <c r="E12" s="133"/>
      <c r="F12" s="133"/>
      <c r="G12" s="133"/>
      <c r="H12" s="133"/>
      <c r="I12" s="133"/>
      <c r="J12" s="133"/>
    </row>
    <row r="13" spans="1:14" ht="0.95" customHeight="1" thickBot="1" x14ac:dyDescent="0.25">
      <c r="A13" s="134"/>
      <c r="B13" s="134"/>
      <c r="C13" s="134"/>
      <c r="D13" s="134"/>
      <c r="E13" s="134"/>
      <c r="F13" s="134"/>
      <c r="G13" s="134"/>
      <c r="H13" s="134"/>
      <c r="I13" s="134"/>
      <c r="J13" s="134"/>
    </row>
    <row r="14" spans="1:14" ht="15.95" customHeight="1" x14ac:dyDescent="0.2">
      <c r="A14" s="502" t="s">
        <v>21</v>
      </c>
      <c r="B14" s="517" t="s">
        <v>22</v>
      </c>
      <c r="C14" s="506" t="s">
        <v>62</v>
      </c>
      <c r="D14" s="520" t="s">
        <v>23</v>
      </c>
      <c r="E14" s="136" t="s">
        <v>24</v>
      </c>
      <c r="F14" s="137" t="s">
        <v>25</v>
      </c>
      <c r="G14" s="135" t="s">
        <v>22</v>
      </c>
      <c r="H14" s="138" t="s">
        <v>122</v>
      </c>
      <c r="I14" s="139" t="s">
        <v>24</v>
      </c>
      <c r="J14" s="481" t="s">
        <v>26</v>
      </c>
      <c r="K14" s="140"/>
    </row>
    <row r="15" spans="1:14" ht="15.95" customHeight="1" thickBot="1" x14ac:dyDescent="0.25">
      <c r="A15" s="515"/>
      <c r="B15" s="518"/>
      <c r="C15" s="519"/>
      <c r="D15" s="521"/>
      <c r="E15" s="142" t="s">
        <v>27</v>
      </c>
      <c r="F15" s="143" t="s">
        <v>28</v>
      </c>
      <c r="G15" s="141" t="s">
        <v>28</v>
      </c>
      <c r="H15" s="144" t="s">
        <v>28</v>
      </c>
      <c r="I15" s="145" t="s">
        <v>29</v>
      </c>
      <c r="J15" s="516"/>
      <c r="K15" s="140"/>
    </row>
    <row r="16" spans="1:14" ht="6" customHeight="1" thickBot="1" x14ac:dyDescent="0.25">
      <c r="A16" s="125"/>
      <c r="B16" s="146"/>
      <c r="C16" s="125"/>
      <c r="D16" s="147"/>
      <c r="E16" s="148"/>
      <c r="F16" s="147"/>
      <c r="G16" s="147"/>
      <c r="H16" s="147"/>
      <c r="I16" s="148"/>
      <c r="J16" s="149"/>
      <c r="K16" s="140"/>
    </row>
    <row r="17" spans="1:27" ht="14.1" customHeight="1" x14ac:dyDescent="0.2">
      <c r="A17" s="502" t="s">
        <v>2</v>
      </c>
      <c r="B17" s="513" t="s">
        <v>136</v>
      </c>
      <c r="C17" s="506" t="s">
        <v>30</v>
      </c>
      <c r="D17" s="506"/>
      <c r="E17" s="507"/>
      <c r="F17" s="137">
        <f>ROUND(D19*F19,2)</f>
        <v>0</v>
      </c>
      <c r="G17" s="135">
        <f>ROUND(D19*G19,2)</f>
        <v>0</v>
      </c>
      <c r="H17" s="138">
        <f>ROUND(D19*H19,2)</f>
        <v>0</v>
      </c>
      <c r="I17" s="483">
        <f>F17+G17+H17</f>
        <v>0</v>
      </c>
      <c r="J17" s="481" t="e">
        <f>ROUND(I17/$I$41,6)</f>
        <v>#DIV/0!</v>
      </c>
      <c r="K17"/>
      <c r="L17"/>
      <c r="M17"/>
      <c r="N17"/>
      <c r="O17"/>
    </row>
    <row r="18" spans="1:27" ht="14.1" customHeight="1" x14ac:dyDescent="0.2">
      <c r="A18" s="503"/>
      <c r="B18" s="514"/>
      <c r="C18" s="508"/>
      <c r="D18" s="508"/>
      <c r="E18" s="509"/>
      <c r="F18" s="34" t="e">
        <f>F17/I17</f>
        <v>#DIV/0!</v>
      </c>
      <c r="G18" s="35" t="e">
        <f>G17/I17</f>
        <v>#DIV/0!</v>
      </c>
      <c r="H18" s="36" t="e">
        <f>H17/I17</f>
        <v>#DIV/0!</v>
      </c>
      <c r="I18" s="484"/>
      <c r="J18" s="482"/>
      <c r="K18"/>
      <c r="L18"/>
      <c r="M18"/>
      <c r="N18"/>
      <c r="O18"/>
    </row>
    <row r="19" spans="1:27" s="160" customFormat="1" ht="18" customHeight="1" thickBot="1" x14ac:dyDescent="0.25">
      <c r="A19" s="150" t="s">
        <v>3</v>
      </c>
      <c r="B19" s="151" t="s">
        <v>141</v>
      </c>
      <c r="C19" s="152" t="s">
        <v>146</v>
      </c>
      <c r="D19" s="153">
        <v>1</v>
      </c>
      <c r="E19" s="154">
        <f>G19+H19+F19</f>
        <v>0</v>
      </c>
      <c r="F19" s="155">
        <f>'5.A'!F26</f>
        <v>0</v>
      </c>
      <c r="G19" s="156">
        <f>'5.A'!F39</f>
        <v>0</v>
      </c>
      <c r="H19" s="157">
        <f>'5.A'!F62</f>
        <v>0</v>
      </c>
      <c r="I19" s="158">
        <f>ROUND(D19*F19,2)+ROUND(D19*G19,2)+ROUND(D19*H19,2)</f>
        <v>0</v>
      </c>
      <c r="J19" s="159" t="e">
        <f>I19/$I$41</f>
        <v>#DIV/0!</v>
      </c>
      <c r="K19"/>
      <c r="L19"/>
      <c r="M19"/>
      <c r="N19"/>
      <c r="O19"/>
      <c r="P19" s="115"/>
      <c r="Q19"/>
      <c r="R19"/>
      <c r="S19"/>
      <c r="T19"/>
      <c r="U19"/>
      <c r="V19"/>
      <c r="W19"/>
      <c r="X19"/>
      <c r="Y19"/>
      <c r="Z19"/>
      <c r="AA19"/>
    </row>
    <row r="20" spans="1:27" ht="6" customHeight="1" thickBot="1" x14ac:dyDescent="0.25">
      <c r="A20" s="125"/>
      <c r="B20" s="146"/>
      <c r="C20" s="125"/>
      <c r="D20" s="147"/>
      <c r="E20" s="148"/>
      <c r="F20" s="147"/>
      <c r="G20" s="147"/>
      <c r="H20" s="147"/>
      <c r="I20" s="148"/>
      <c r="J20" s="149"/>
      <c r="K20"/>
      <c r="L20"/>
      <c r="M20"/>
      <c r="N20"/>
      <c r="O20"/>
    </row>
    <row r="21" spans="1:27" ht="14.1" customHeight="1" x14ac:dyDescent="0.2">
      <c r="A21" s="502" t="s">
        <v>4</v>
      </c>
      <c r="B21" s="513" t="s">
        <v>144</v>
      </c>
      <c r="C21" s="506" t="s">
        <v>30</v>
      </c>
      <c r="D21" s="506"/>
      <c r="E21" s="507"/>
      <c r="F21" s="137">
        <f>ROUND(D23*F23,2)</f>
        <v>0</v>
      </c>
      <c r="G21" s="135">
        <f>ROUND(D23*G23,2)</f>
        <v>0</v>
      </c>
      <c r="H21" s="138">
        <f>ROUND(D23*H23,2)</f>
        <v>0</v>
      </c>
      <c r="I21" s="483">
        <f>F21+G21+H21</f>
        <v>0</v>
      </c>
      <c r="J21" s="481" t="e">
        <f>ROUND(I21/$I$41,6)</f>
        <v>#DIV/0!</v>
      </c>
      <c r="K21"/>
      <c r="L21"/>
      <c r="M21"/>
      <c r="N21"/>
      <c r="O21"/>
    </row>
    <row r="22" spans="1:27" ht="14.1" customHeight="1" x14ac:dyDescent="0.2">
      <c r="A22" s="503"/>
      <c r="B22" s="514"/>
      <c r="C22" s="508"/>
      <c r="D22" s="508"/>
      <c r="E22" s="509"/>
      <c r="F22" s="34" t="e">
        <f>F21/I21</f>
        <v>#DIV/0!</v>
      </c>
      <c r="G22" s="35" t="e">
        <f>G21/I21</f>
        <v>#DIV/0!</v>
      </c>
      <c r="H22" s="36" t="e">
        <f>H21/I21</f>
        <v>#DIV/0!</v>
      </c>
      <c r="I22" s="484"/>
      <c r="J22" s="482"/>
      <c r="K22"/>
      <c r="L22"/>
      <c r="M22"/>
      <c r="N22"/>
      <c r="O22"/>
    </row>
    <row r="23" spans="1:27" s="160" customFormat="1" ht="18" customHeight="1" thickBot="1" x14ac:dyDescent="0.25">
      <c r="A23" s="161" t="s">
        <v>5</v>
      </c>
      <c r="B23" s="162" t="s">
        <v>124</v>
      </c>
      <c r="C23" s="163" t="s">
        <v>47</v>
      </c>
      <c r="D23" s="164">
        <v>1006</v>
      </c>
      <c r="E23" s="165">
        <f>G23+H23+F23</f>
        <v>0</v>
      </c>
      <c r="F23" s="155">
        <f>'5.A'!$F$78</f>
        <v>0</v>
      </c>
      <c r="G23" s="156">
        <f>'5.A'!$F$91</f>
        <v>0</v>
      </c>
      <c r="H23" s="166">
        <f>'5.A'!$F$114</f>
        <v>0</v>
      </c>
      <c r="I23" s="158">
        <f>ROUND(D23*F23,2)+ROUND(D23*G23,2)+ROUND(D23*H23,2)</f>
        <v>0</v>
      </c>
      <c r="J23" s="159" t="e">
        <f>I23/$I$41</f>
        <v>#DIV/0!</v>
      </c>
      <c r="K23"/>
      <c r="L23"/>
      <c r="M23"/>
      <c r="N23"/>
      <c r="O23"/>
      <c r="P23" s="115"/>
      <c r="Q23"/>
      <c r="R23"/>
      <c r="S23"/>
      <c r="T23"/>
      <c r="U23"/>
      <c r="V23"/>
      <c r="W23"/>
      <c r="X23"/>
      <c r="Y23"/>
      <c r="Z23"/>
      <c r="AA23"/>
    </row>
    <row r="24" spans="1:27" ht="6.95" customHeight="1" thickBot="1" x14ac:dyDescent="0.25">
      <c r="A24" s="167"/>
      <c r="E24" s="169"/>
      <c r="I24" s="169"/>
      <c r="K24"/>
      <c r="L24"/>
      <c r="M24"/>
      <c r="N24"/>
      <c r="O24"/>
    </row>
    <row r="25" spans="1:27" ht="14.1" customHeight="1" x14ac:dyDescent="0.2">
      <c r="A25" s="502" t="s">
        <v>6</v>
      </c>
      <c r="B25" s="504" t="s">
        <v>130</v>
      </c>
      <c r="C25" s="506" t="s">
        <v>30</v>
      </c>
      <c r="D25" s="506"/>
      <c r="E25" s="507"/>
      <c r="F25" s="137">
        <f>ROUND(D27*F27,2)</f>
        <v>0</v>
      </c>
      <c r="G25" s="135">
        <f>ROUND(D27*G27,2)</f>
        <v>0</v>
      </c>
      <c r="H25" s="138">
        <f>ROUND(D27*H27,2)</f>
        <v>0</v>
      </c>
      <c r="I25" s="483">
        <f>F25+G25+H25</f>
        <v>0</v>
      </c>
      <c r="J25" s="481" t="e">
        <f>ROUND(I25/$I$41,6)</f>
        <v>#DIV/0!</v>
      </c>
      <c r="K25"/>
      <c r="L25"/>
      <c r="M25"/>
      <c r="N25"/>
      <c r="O25"/>
    </row>
    <row r="26" spans="1:27" ht="14.1" customHeight="1" x14ac:dyDescent="0.2">
      <c r="A26" s="503"/>
      <c r="B26" s="505"/>
      <c r="C26" s="508"/>
      <c r="D26" s="508"/>
      <c r="E26" s="509"/>
      <c r="F26" s="34" t="e">
        <f>F25/I25</f>
        <v>#DIV/0!</v>
      </c>
      <c r="G26" s="35" t="e">
        <f>G25/I25</f>
        <v>#DIV/0!</v>
      </c>
      <c r="H26" s="36" t="e">
        <f>H25/I25</f>
        <v>#DIV/0!</v>
      </c>
      <c r="I26" s="484"/>
      <c r="J26" s="482"/>
      <c r="K26"/>
      <c r="L26"/>
      <c r="M26"/>
      <c r="N26"/>
      <c r="O26"/>
    </row>
    <row r="27" spans="1:27" s="160" customFormat="1" ht="30" customHeight="1" thickBot="1" x14ac:dyDescent="0.25">
      <c r="A27" s="171" t="s">
        <v>7</v>
      </c>
      <c r="B27" s="172" t="s">
        <v>125</v>
      </c>
      <c r="C27" s="173" t="s">
        <v>47</v>
      </c>
      <c r="D27" s="174">
        <v>58.1</v>
      </c>
      <c r="E27" s="175">
        <f>G27+H27+F27</f>
        <v>0</v>
      </c>
      <c r="F27" s="155">
        <f>'5.A'!F130</f>
        <v>0</v>
      </c>
      <c r="G27" s="156">
        <f>'5.A'!F143</f>
        <v>0</v>
      </c>
      <c r="H27" s="166">
        <f>'5.A'!F166</f>
        <v>0</v>
      </c>
      <c r="I27" s="176">
        <f t="shared" ref="I27" si="0">ROUND(D27*F27,2)+ROUND(D27*G27,2)+ROUND(D27*H27,2)</f>
        <v>0</v>
      </c>
      <c r="J27" s="177" t="e">
        <f>I27/$I$41</f>
        <v>#DIV/0!</v>
      </c>
      <c r="K27"/>
      <c r="L27"/>
      <c r="M27"/>
      <c r="N27"/>
      <c r="O27"/>
      <c r="P27" s="115"/>
      <c r="Q27"/>
      <c r="R27"/>
      <c r="S27"/>
      <c r="T27"/>
      <c r="U27"/>
      <c r="V27"/>
      <c r="W27"/>
      <c r="X27"/>
      <c r="Y27"/>
      <c r="Z27"/>
      <c r="AA27"/>
    </row>
    <row r="28" spans="1:27" ht="6.95" customHeight="1" thickBot="1" x14ac:dyDescent="0.25">
      <c r="A28" s="178"/>
      <c r="B28" s="179"/>
      <c r="C28" s="180"/>
      <c r="D28" s="181"/>
      <c r="E28" s="182"/>
      <c r="F28" s="183"/>
      <c r="G28" s="183"/>
      <c r="H28" s="183"/>
      <c r="I28" s="184"/>
      <c r="J28" s="185"/>
      <c r="K28"/>
      <c r="L28"/>
      <c r="M28"/>
      <c r="N28"/>
      <c r="O28"/>
    </row>
    <row r="29" spans="1:27" ht="14.1" customHeight="1" x14ac:dyDescent="0.2">
      <c r="A29" s="502" t="s">
        <v>31</v>
      </c>
      <c r="B29" s="513" t="s">
        <v>143</v>
      </c>
      <c r="C29" s="506" t="s">
        <v>30</v>
      </c>
      <c r="D29" s="506"/>
      <c r="E29" s="507"/>
      <c r="F29" s="137">
        <f>ROUND(D31*F31,2)</f>
        <v>0</v>
      </c>
      <c r="G29" s="135">
        <f>ROUND(D31*G31,2)</f>
        <v>0</v>
      </c>
      <c r="H29" s="138">
        <f>ROUND(D31*H31,2)</f>
        <v>0</v>
      </c>
      <c r="I29" s="483">
        <f>F29+G29+H29</f>
        <v>0</v>
      </c>
      <c r="J29" s="481" t="e">
        <f>ROUND(I29/$I$41,6)</f>
        <v>#DIV/0!</v>
      </c>
      <c r="K29"/>
      <c r="L29"/>
      <c r="M29"/>
      <c r="N29"/>
      <c r="O29"/>
    </row>
    <row r="30" spans="1:27" ht="14.1" customHeight="1" x14ac:dyDescent="0.2">
      <c r="A30" s="503"/>
      <c r="B30" s="514"/>
      <c r="C30" s="508"/>
      <c r="D30" s="508"/>
      <c r="E30" s="509"/>
      <c r="F30" s="34" t="e">
        <f>F29/I29</f>
        <v>#DIV/0!</v>
      </c>
      <c r="G30" s="35" t="e">
        <f>G29/I29</f>
        <v>#DIV/0!</v>
      </c>
      <c r="H30" s="36" t="e">
        <f>H29/I29</f>
        <v>#DIV/0!</v>
      </c>
      <c r="I30" s="484"/>
      <c r="J30" s="482"/>
      <c r="K30"/>
      <c r="L30"/>
      <c r="M30"/>
      <c r="N30"/>
      <c r="O30"/>
    </row>
    <row r="31" spans="1:27" s="160" customFormat="1" ht="18" customHeight="1" thickBot="1" x14ac:dyDescent="0.25">
      <c r="A31" s="186" t="s">
        <v>8</v>
      </c>
      <c r="B31" s="187" t="s">
        <v>127</v>
      </c>
      <c r="C31" s="188" t="s">
        <v>47</v>
      </c>
      <c r="D31" s="189">
        <v>30</v>
      </c>
      <c r="E31" s="175">
        <f t="shared" ref="E31" si="1">G31+H31+F31</f>
        <v>0</v>
      </c>
      <c r="F31" s="190">
        <f>'5.A'!F182</f>
        <v>0</v>
      </c>
      <c r="G31" s="191">
        <f>'5.A'!F195</f>
        <v>0</v>
      </c>
      <c r="H31" s="192">
        <f>'5.A'!F218</f>
        <v>0</v>
      </c>
      <c r="I31" s="193">
        <f t="shared" ref="I31" si="2">ROUND(D31*F31,2)+ROUND(D31*G31,2)+ROUND(D31*H31,2)</f>
        <v>0</v>
      </c>
      <c r="J31" s="194" t="e">
        <f>I31/$I$41</f>
        <v>#DIV/0!</v>
      </c>
      <c r="K31"/>
      <c r="L31"/>
      <c r="M31"/>
      <c r="N31"/>
      <c r="O31"/>
      <c r="P31" s="115"/>
      <c r="Q31"/>
      <c r="R31"/>
      <c r="S31"/>
      <c r="T31"/>
      <c r="U31"/>
      <c r="V31"/>
      <c r="W31"/>
      <c r="X31"/>
      <c r="Y31"/>
      <c r="Z31"/>
      <c r="AA31"/>
    </row>
    <row r="32" spans="1:27" ht="6.95" customHeight="1" thickBot="1" x14ac:dyDescent="0.25">
      <c r="A32" s="178"/>
      <c r="B32" s="179"/>
      <c r="C32" s="180"/>
      <c r="D32" s="181"/>
      <c r="E32" s="182"/>
      <c r="F32" s="183"/>
      <c r="G32" s="183"/>
      <c r="H32" s="183"/>
      <c r="I32" s="184"/>
      <c r="J32" s="185"/>
      <c r="K32"/>
      <c r="L32"/>
      <c r="M32"/>
      <c r="N32"/>
      <c r="O32"/>
    </row>
    <row r="33" spans="1:27" ht="14.1" customHeight="1" x14ac:dyDescent="0.2">
      <c r="A33" s="502" t="s">
        <v>106</v>
      </c>
      <c r="B33" s="524" t="s">
        <v>129</v>
      </c>
      <c r="C33" s="506" t="s">
        <v>30</v>
      </c>
      <c r="D33" s="506"/>
      <c r="E33" s="507"/>
      <c r="F33" s="137">
        <f>ROUND(D35*F35,2)</f>
        <v>0</v>
      </c>
      <c r="G33" s="135">
        <f>ROUND(D35*G35,2)</f>
        <v>0</v>
      </c>
      <c r="H33" s="138">
        <f>ROUND(D35*H35,2)</f>
        <v>0</v>
      </c>
      <c r="I33" s="483">
        <f>F33+G33+H33</f>
        <v>0</v>
      </c>
      <c r="J33" s="481" t="e">
        <f>ROUND(I33/$I$41,6)</f>
        <v>#DIV/0!</v>
      </c>
      <c r="K33"/>
      <c r="L33"/>
      <c r="M33"/>
      <c r="N33"/>
      <c r="O33"/>
    </row>
    <row r="34" spans="1:27" ht="14.1" customHeight="1" x14ac:dyDescent="0.2">
      <c r="A34" s="503"/>
      <c r="B34" s="525"/>
      <c r="C34" s="508"/>
      <c r="D34" s="508"/>
      <c r="E34" s="509"/>
      <c r="F34" s="34" t="e">
        <f>F33/I33</f>
        <v>#DIV/0!</v>
      </c>
      <c r="G34" s="35" t="e">
        <f>G33/I33</f>
        <v>#DIV/0!</v>
      </c>
      <c r="H34" s="36" t="e">
        <f>H33/I33</f>
        <v>#DIV/0!</v>
      </c>
      <c r="I34" s="484"/>
      <c r="J34" s="482"/>
      <c r="K34"/>
      <c r="L34"/>
      <c r="M34"/>
      <c r="N34"/>
      <c r="O34"/>
    </row>
    <row r="35" spans="1:27" s="160" customFormat="1" ht="30" customHeight="1" thickBot="1" x14ac:dyDescent="0.25">
      <c r="A35" s="186" t="s">
        <v>107</v>
      </c>
      <c r="B35" s="187" t="str">
        <f>UPPER("Fornecimento e instalação de escada marinheiro com saída tipo piscina, em polímero reforçado com fibra de vidro")</f>
        <v>FORNECIMENTO E INSTALAÇÃO DE ESCADA MARINHEIRO COM SAÍDA TIPO PISCINA, EM POLÍMERO REFORÇADO COM FIBRA DE VIDRO</v>
      </c>
      <c r="C35" s="188" t="s">
        <v>47</v>
      </c>
      <c r="D35" s="189">
        <v>53</v>
      </c>
      <c r="E35" s="175">
        <f t="shared" ref="E35" si="3">G35+H35+F35</f>
        <v>0</v>
      </c>
      <c r="F35" s="190">
        <f>'5.A'!F234</f>
        <v>0</v>
      </c>
      <c r="G35" s="191">
        <f>'5.A'!F247</f>
        <v>0</v>
      </c>
      <c r="H35" s="192">
        <f>'5.A'!F270</f>
        <v>0</v>
      </c>
      <c r="I35" s="193">
        <f t="shared" ref="I35" si="4">ROUND(D35*F35,2)+ROUND(D35*G35,2)+ROUND(D35*H35,2)</f>
        <v>0</v>
      </c>
      <c r="J35" s="195" t="e">
        <f>I35/$I$41</f>
        <v>#DIV/0!</v>
      </c>
      <c r="K35"/>
      <c r="L35"/>
      <c r="M35"/>
      <c r="N35"/>
      <c r="O35"/>
      <c r="P35" s="115"/>
      <c r="Q35"/>
      <c r="R35"/>
      <c r="S35"/>
      <c r="T35"/>
      <c r="U35"/>
      <c r="V35"/>
      <c r="W35"/>
      <c r="X35"/>
      <c r="Y35"/>
      <c r="Z35"/>
      <c r="AA35"/>
    </row>
    <row r="36" spans="1:27" ht="6.95" customHeight="1" thickBot="1" x14ac:dyDescent="0.25">
      <c r="A36" s="178"/>
      <c r="B36" s="179"/>
      <c r="C36" s="180"/>
      <c r="D36" s="181"/>
      <c r="E36" s="182"/>
      <c r="F36" s="183"/>
      <c r="G36" s="183"/>
      <c r="H36" s="183"/>
      <c r="I36" s="184"/>
      <c r="J36" s="185"/>
      <c r="K36"/>
      <c r="L36"/>
      <c r="M36"/>
      <c r="N36"/>
      <c r="O36"/>
    </row>
    <row r="37" spans="1:27" ht="14.1" customHeight="1" x14ac:dyDescent="0.2">
      <c r="A37" s="502" t="s">
        <v>137</v>
      </c>
      <c r="B37" s="524" t="s">
        <v>132</v>
      </c>
      <c r="C37" s="506" t="s">
        <v>30</v>
      </c>
      <c r="D37" s="506"/>
      <c r="E37" s="507"/>
      <c r="F37" s="137">
        <f>ROUND(D39*F39,2)</f>
        <v>0</v>
      </c>
      <c r="G37" s="135">
        <f>ROUND(D39*G39,2)</f>
        <v>0</v>
      </c>
      <c r="H37" s="138">
        <f>ROUND(D39*H39,2)</f>
        <v>0</v>
      </c>
      <c r="I37" s="483">
        <f>F37+G37+H37</f>
        <v>0</v>
      </c>
      <c r="J37" s="481" t="e">
        <f>ROUND(I37/$I$41,6)</f>
        <v>#DIV/0!</v>
      </c>
      <c r="K37"/>
      <c r="L37"/>
      <c r="M37"/>
      <c r="N37"/>
      <c r="O37"/>
    </row>
    <row r="38" spans="1:27" ht="14.1" customHeight="1" x14ac:dyDescent="0.2">
      <c r="A38" s="503"/>
      <c r="B38" s="525"/>
      <c r="C38" s="508"/>
      <c r="D38" s="508"/>
      <c r="E38" s="509"/>
      <c r="F38" s="34" t="e">
        <f>F37/I37</f>
        <v>#DIV/0!</v>
      </c>
      <c r="G38" s="35" t="e">
        <f>G37/I37</f>
        <v>#DIV/0!</v>
      </c>
      <c r="H38" s="36" t="e">
        <f>H37/I37</f>
        <v>#DIV/0!</v>
      </c>
      <c r="I38" s="484"/>
      <c r="J38" s="482"/>
      <c r="K38"/>
      <c r="L38"/>
      <c r="M38"/>
      <c r="N38"/>
      <c r="O38"/>
    </row>
    <row r="39" spans="1:27" s="160" customFormat="1" ht="30" customHeight="1" thickBot="1" x14ac:dyDescent="0.25">
      <c r="A39" s="196" t="s">
        <v>138</v>
      </c>
      <c r="B39" s="187" t="s">
        <v>135</v>
      </c>
      <c r="C39" s="188" t="s">
        <v>134</v>
      </c>
      <c r="D39" s="189">
        <v>353.4</v>
      </c>
      <c r="E39" s="197">
        <f t="shared" ref="E39" si="5">G39+H39+F39</f>
        <v>0</v>
      </c>
      <c r="F39" s="190">
        <f>'5.A'!F286</f>
        <v>0</v>
      </c>
      <c r="G39" s="198">
        <f>'5.A'!F299</f>
        <v>0</v>
      </c>
      <c r="H39" s="199">
        <f>'5.A'!F322</f>
        <v>0</v>
      </c>
      <c r="I39" s="176">
        <f t="shared" ref="I39" si="6">ROUND(D39*F39,2)+ROUND(D39*G39,2)+ROUND(D39*H39,2)</f>
        <v>0</v>
      </c>
      <c r="J39" s="195" t="e">
        <f>I39/$I$41</f>
        <v>#DIV/0!</v>
      </c>
      <c r="K39"/>
      <c r="L39"/>
      <c r="M39"/>
      <c r="N39"/>
      <c r="O39"/>
      <c r="P39" s="115"/>
      <c r="Q39"/>
      <c r="R39"/>
      <c r="S39"/>
      <c r="T39"/>
      <c r="U39"/>
      <c r="V39"/>
      <c r="W39"/>
      <c r="X39"/>
      <c r="Y39"/>
      <c r="Z39"/>
      <c r="AA39"/>
    </row>
    <row r="40" spans="1:27" ht="6.95" customHeight="1" thickBot="1" x14ac:dyDescent="0.3">
      <c r="A40" s="178"/>
      <c r="B40" s="179"/>
      <c r="C40" s="180"/>
      <c r="D40" s="181"/>
      <c r="E40" s="182"/>
      <c r="F40" s="183"/>
      <c r="G40" s="183"/>
      <c r="H40" s="183"/>
      <c r="I40" s="184"/>
      <c r="J40" s="185"/>
      <c r="L40"/>
      <c r="M40"/>
      <c r="N40" s="200"/>
    </row>
    <row r="41" spans="1:27" ht="21.95" customHeight="1" thickBot="1" x14ac:dyDescent="0.25">
      <c r="A41" s="433" t="s">
        <v>12</v>
      </c>
      <c r="B41" s="434"/>
      <c r="C41" s="434"/>
      <c r="D41" s="434"/>
      <c r="E41" s="434"/>
      <c r="F41" s="434"/>
      <c r="G41" s="434"/>
      <c r="H41" s="434"/>
      <c r="I41" s="201">
        <f>ROUND(I17+I21+I25+I29+I33+I37,2)</f>
        <v>0</v>
      </c>
      <c r="J41" s="202" t="e">
        <f>ROUND((J17+J21+J25+J29+J33+J37),6)</f>
        <v>#DIV/0!</v>
      </c>
      <c r="K41" s="203"/>
    </row>
    <row r="42" spans="1:27" ht="20.100000000000001" customHeight="1" thickBot="1" x14ac:dyDescent="0.25">
      <c r="A42" s="439" t="s">
        <v>52</v>
      </c>
      <c r="B42" s="440"/>
      <c r="C42" s="440"/>
      <c r="D42" s="440"/>
      <c r="E42" s="440"/>
      <c r="F42" s="440"/>
      <c r="G42" s="440"/>
      <c r="H42" s="440"/>
      <c r="I42" s="204">
        <f>F17+F21+F25+F29+F33+F37</f>
        <v>0</v>
      </c>
      <c r="J42" s="205" t="e">
        <f>ROUND(I42/I41,5)</f>
        <v>#DIV/0!</v>
      </c>
      <c r="K42" s="206"/>
      <c r="L42" s="26"/>
      <c r="M42" s="75"/>
    </row>
    <row r="43" spans="1:27" ht="20.100000000000001" customHeight="1" thickBot="1" x14ac:dyDescent="0.25">
      <c r="A43" s="439" t="s">
        <v>108</v>
      </c>
      <c r="B43" s="440"/>
      <c r="C43" s="440"/>
      <c r="D43" s="440"/>
      <c r="E43" s="440"/>
      <c r="F43" s="440"/>
      <c r="G43" s="440"/>
      <c r="H43" s="440"/>
      <c r="I43" s="204">
        <f>G17+G21+G25+G29+G33+G37</f>
        <v>0</v>
      </c>
      <c r="J43" s="205" t="e">
        <f>ROUND(I43/I41,5)</f>
        <v>#DIV/0!</v>
      </c>
      <c r="K43" s="207"/>
      <c r="L43" s="26"/>
    </row>
    <row r="44" spans="1:27" ht="20.100000000000001" customHeight="1" thickBot="1" x14ac:dyDescent="0.25">
      <c r="A44" s="439" t="s">
        <v>53</v>
      </c>
      <c r="B44" s="440"/>
      <c r="C44" s="440"/>
      <c r="D44" s="440"/>
      <c r="E44" s="440"/>
      <c r="F44" s="440"/>
      <c r="G44" s="440"/>
      <c r="H44" s="440"/>
      <c r="I44" s="204">
        <f>H17+H21+H25+H29+H33+H37</f>
        <v>0</v>
      </c>
      <c r="J44" s="205" t="e">
        <f>ROUND(I44/I41,5)</f>
        <v>#DIV/0!</v>
      </c>
    </row>
    <row r="45" spans="1:27" ht="6.75" customHeight="1" thickBot="1" x14ac:dyDescent="0.25">
      <c r="C45" s="448"/>
      <c r="D45" s="448"/>
      <c r="E45" s="448"/>
    </row>
    <row r="46" spans="1:27" ht="17.100000000000001" customHeight="1" x14ac:dyDescent="0.2">
      <c r="A46" s="446" t="s">
        <v>21</v>
      </c>
      <c r="B46" s="459" t="s">
        <v>9</v>
      </c>
      <c r="C46" s="459"/>
      <c r="D46" s="459"/>
      <c r="E46" s="460"/>
      <c r="F46" s="209" t="s">
        <v>25</v>
      </c>
      <c r="G46" s="210" t="s">
        <v>148</v>
      </c>
      <c r="H46" s="211" t="s">
        <v>147</v>
      </c>
      <c r="I46" s="212" t="s">
        <v>24</v>
      </c>
      <c r="J46" s="473" t="s">
        <v>26</v>
      </c>
      <c r="K46" s="475"/>
      <c r="L46" s="476"/>
    </row>
    <row r="47" spans="1:27" ht="17.100000000000001" customHeight="1" thickBot="1" x14ac:dyDescent="0.25">
      <c r="A47" s="447"/>
      <c r="B47" s="461"/>
      <c r="C47" s="461"/>
      <c r="D47" s="461"/>
      <c r="E47" s="462"/>
      <c r="F47" s="213" t="s">
        <v>28</v>
      </c>
      <c r="G47" s="214" t="s">
        <v>28</v>
      </c>
      <c r="H47" s="215" t="s">
        <v>28</v>
      </c>
      <c r="I47" s="216" t="s">
        <v>29</v>
      </c>
      <c r="J47" s="474"/>
    </row>
    <row r="48" spans="1:27" ht="14.1" customHeight="1" x14ac:dyDescent="0.2">
      <c r="A48" s="441" t="str">
        <f>A17</f>
        <v>1.0</v>
      </c>
      <c r="B48" s="442" t="str">
        <f>B17</f>
        <v>CANTEIRO DE OBRAS</v>
      </c>
      <c r="C48" s="442"/>
      <c r="D48" s="442"/>
      <c r="E48" s="443"/>
      <c r="F48" s="217">
        <f>F17</f>
        <v>0</v>
      </c>
      <c r="G48" s="218">
        <f>G17</f>
        <v>0</v>
      </c>
      <c r="H48" s="219">
        <f>H17</f>
        <v>0</v>
      </c>
      <c r="I48" s="471">
        <f>F48+G48+H48</f>
        <v>0</v>
      </c>
      <c r="J48" s="472" t="e">
        <f>ROUND(I48/$I$41,6)</f>
        <v>#DIV/0!</v>
      </c>
      <c r="K48" s="220"/>
      <c r="N48" s="76"/>
    </row>
    <row r="49" spans="1:27" ht="14.1" customHeight="1" x14ac:dyDescent="0.2">
      <c r="A49" s="431"/>
      <c r="B49" s="444"/>
      <c r="C49" s="444"/>
      <c r="D49" s="444"/>
      <c r="E49" s="445"/>
      <c r="F49" s="74" t="e">
        <f t="shared" ref="F49:H49" si="7">F22</f>
        <v>#DIV/0!</v>
      </c>
      <c r="G49" s="25" t="e">
        <f t="shared" si="7"/>
        <v>#DIV/0!</v>
      </c>
      <c r="H49" s="73" t="e">
        <f t="shared" si="7"/>
        <v>#DIV/0!</v>
      </c>
      <c r="I49" s="463"/>
      <c r="J49" s="464"/>
      <c r="K49" s="123"/>
      <c r="N49" s="221"/>
    </row>
    <row r="50" spans="1:27" ht="14.1" customHeight="1" x14ac:dyDescent="0.2">
      <c r="A50" s="451" t="str">
        <f>A21</f>
        <v>2.0</v>
      </c>
      <c r="B50" s="477" t="str">
        <f>B21</f>
        <v>GUARDA CORPO PLANO EM FIBRA DE VIDRO PULTRUDADA</v>
      </c>
      <c r="C50" s="477"/>
      <c r="D50" s="477"/>
      <c r="E50" s="478"/>
      <c r="F50" s="222">
        <f t="shared" ref="F50:H51" si="8">F21</f>
        <v>0</v>
      </c>
      <c r="G50" s="223">
        <f t="shared" si="8"/>
        <v>0</v>
      </c>
      <c r="H50" s="224">
        <f t="shared" si="8"/>
        <v>0</v>
      </c>
      <c r="I50" s="479">
        <f>F50+G50+H50</f>
        <v>0</v>
      </c>
      <c r="J50" s="480" t="e">
        <f>ROUND(I50/$I$41,6)</f>
        <v>#DIV/0!</v>
      </c>
      <c r="K50" s="123"/>
      <c r="N50" s="221"/>
    </row>
    <row r="51" spans="1:27" ht="14.1" customHeight="1" x14ac:dyDescent="0.2">
      <c r="A51" s="431"/>
      <c r="B51" s="444"/>
      <c r="C51" s="444"/>
      <c r="D51" s="444"/>
      <c r="E51" s="445"/>
      <c r="F51" s="74" t="e">
        <f t="shared" si="8"/>
        <v>#DIV/0!</v>
      </c>
      <c r="G51" s="25" t="e">
        <f t="shared" si="8"/>
        <v>#DIV/0!</v>
      </c>
      <c r="H51" s="73" t="e">
        <f t="shared" si="8"/>
        <v>#DIV/0!</v>
      </c>
      <c r="I51" s="463"/>
      <c r="J51" s="464"/>
      <c r="K51" s="123"/>
      <c r="N51" s="221"/>
    </row>
    <row r="52" spans="1:27" ht="14.1" customHeight="1" x14ac:dyDescent="0.2">
      <c r="A52" s="452" t="str">
        <f>A25</f>
        <v>3.0</v>
      </c>
      <c r="B52" s="454" t="str">
        <f>B25</f>
        <v>GUARDA CORPO ESCADA EM FIBRA DE VIDRO PULTRUDADA</v>
      </c>
      <c r="C52" s="455"/>
      <c r="D52" s="455"/>
      <c r="E52" s="456"/>
      <c r="F52" s="225">
        <f t="shared" ref="F52:H53" si="9">F25</f>
        <v>0</v>
      </c>
      <c r="G52" s="226">
        <f t="shared" si="9"/>
        <v>0</v>
      </c>
      <c r="H52" s="227">
        <f t="shared" si="9"/>
        <v>0</v>
      </c>
      <c r="I52" s="457">
        <f>F52+G52+H52</f>
        <v>0</v>
      </c>
      <c r="J52" s="458" t="e">
        <f>ROUND(I52/$I$41,6)</f>
        <v>#DIV/0!</v>
      </c>
      <c r="K52" s="123"/>
      <c r="N52" s="77"/>
    </row>
    <row r="53" spans="1:27" ht="14.1" customHeight="1" x14ac:dyDescent="0.2">
      <c r="A53" s="452"/>
      <c r="B53" s="455"/>
      <c r="C53" s="455"/>
      <c r="D53" s="455"/>
      <c r="E53" s="456"/>
      <c r="F53" s="228" t="e">
        <f t="shared" si="9"/>
        <v>#DIV/0!</v>
      </c>
      <c r="G53" s="229" t="e">
        <f t="shared" si="9"/>
        <v>#DIV/0!</v>
      </c>
      <c r="H53" s="230" t="e">
        <f t="shared" si="9"/>
        <v>#DIV/0!</v>
      </c>
      <c r="I53" s="457"/>
      <c r="J53" s="458"/>
    </row>
    <row r="54" spans="1:27" ht="14.1" customHeight="1" x14ac:dyDescent="0.2">
      <c r="A54" s="431" t="str">
        <f>A29</f>
        <v>4.0</v>
      </c>
      <c r="B54" s="444" t="str">
        <f>B29</f>
        <v>GUARDA CORPO PLANO EM AÇO INOX</v>
      </c>
      <c r="C54" s="449"/>
      <c r="D54" s="449"/>
      <c r="E54" s="450"/>
      <c r="F54" s="231">
        <f t="shared" ref="F54:H55" si="10">F29</f>
        <v>0</v>
      </c>
      <c r="G54" s="232">
        <f t="shared" si="10"/>
        <v>0</v>
      </c>
      <c r="H54" s="233">
        <f t="shared" si="10"/>
        <v>0</v>
      </c>
      <c r="I54" s="463">
        <f>F54+G54+H54</f>
        <v>0</v>
      </c>
      <c r="J54" s="464" t="e">
        <f>ROUND(I54/$I$41,6)</f>
        <v>#DIV/0!</v>
      </c>
      <c r="K54" s="220"/>
    </row>
    <row r="55" spans="1:27" ht="14.1" customHeight="1" x14ac:dyDescent="0.2">
      <c r="A55" s="431"/>
      <c r="B55" s="449"/>
      <c r="C55" s="449"/>
      <c r="D55" s="449"/>
      <c r="E55" s="450"/>
      <c r="F55" s="234" t="e">
        <f t="shared" si="10"/>
        <v>#DIV/0!</v>
      </c>
      <c r="G55" s="235" t="e">
        <f t="shared" si="10"/>
        <v>#DIV/0!</v>
      </c>
      <c r="H55" s="236" t="e">
        <f t="shared" si="10"/>
        <v>#DIV/0!</v>
      </c>
      <c r="I55" s="463"/>
      <c r="J55" s="464"/>
    </row>
    <row r="56" spans="1:27" ht="14.1" customHeight="1" x14ac:dyDescent="0.2">
      <c r="A56" s="435" t="str">
        <f>A33</f>
        <v>5.0</v>
      </c>
      <c r="B56" s="436" t="str">
        <f>B33</f>
        <v>ESCADA MARINHEIRO EM FIBRA DE VIDRO PULTRUDADA</v>
      </c>
      <c r="C56" s="437"/>
      <c r="D56" s="437"/>
      <c r="E56" s="438"/>
      <c r="F56" s="237">
        <f t="shared" ref="F56:H57" si="11">F33</f>
        <v>0</v>
      </c>
      <c r="G56" s="238">
        <f t="shared" si="11"/>
        <v>0</v>
      </c>
      <c r="H56" s="239">
        <f t="shared" si="11"/>
        <v>0</v>
      </c>
      <c r="I56" s="457">
        <f>F56+G56+H56</f>
        <v>0</v>
      </c>
      <c r="J56" s="470" t="e">
        <f>ROUND(I56/$I$41,6)</f>
        <v>#DIV/0!</v>
      </c>
      <c r="K56" s="220"/>
    </row>
    <row r="57" spans="1:27" ht="14.1" customHeight="1" x14ac:dyDescent="0.2">
      <c r="A57" s="435"/>
      <c r="B57" s="437"/>
      <c r="C57" s="437"/>
      <c r="D57" s="437"/>
      <c r="E57" s="438"/>
      <c r="F57" s="240" t="e">
        <f t="shared" si="11"/>
        <v>#DIV/0!</v>
      </c>
      <c r="G57" s="241" t="e">
        <f t="shared" si="11"/>
        <v>#DIV/0!</v>
      </c>
      <c r="H57" s="242" t="e">
        <f t="shared" si="11"/>
        <v>#DIV/0!</v>
      </c>
      <c r="I57" s="457"/>
      <c r="J57" s="470"/>
    </row>
    <row r="58" spans="1:27" ht="14.1" customHeight="1" x14ac:dyDescent="0.2">
      <c r="A58" s="431" t="str">
        <f>A37</f>
        <v>6.0</v>
      </c>
      <c r="B58" s="465" t="str">
        <f>B37</f>
        <v>GRADE PISO EM FIBRA DE VIDRO INJETADA</v>
      </c>
      <c r="C58" s="449"/>
      <c r="D58" s="449"/>
      <c r="E58" s="450"/>
      <c r="F58" s="231">
        <f t="shared" ref="F58:H59" si="12">F37</f>
        <v>0</v>
      </c>
      <c r="G58" s="232">
        <f t="shared" si="12"/>
        <v>0</v>
      </c>
      <c r="H58" s="233">
        <f t="shared" si="12"/>
        <v>0</v>
      </c>
      <c r="I58" s="463">
        <f>F58+G58+H58</f>
        <v>0</v>
      </c>
      <c r="J58" s="464" t="e">
        <f>ROUND(I58/$I$41,6)</f>
        <v>#DIV/0!</v>
      </c>
      <c r="K58" s="220"/>
    </row>
    <row r="59" spans="1:27" ht="14.1" customHeight="1" thickBot="1" x14ac:dyDescent="0.25">
      <c r="A59" s="432"/>
      <c r="B59" s="466"/>
      <c r="C59" s="466"/>
      <c r="D59" s="466"/>
      <c r="E59" s="467"/>
      <c r="F59" s="99" t="e">
        <f t="shared" si="12"/>
        <v>#DIV/0!</v>
      </c>
      <c r="G59" s="100" t="e">
        <f t="shared" si="12"/>
        <v>#DIV/0!</v>
      </c>
      <c r="H59" s="101" t="e">
        <f t="shared" si="12"/>
        <v>#DIV/0!</v>
      </c>
      <c r="I59" s="468"/>
      <c r="J59" s="469"/>
    </row>
    <row r="61" spans="1:27" x14ac:dyDescent="0.2">
      <c r="F61" s="430" t="s">
        <v>152</v>
      </c>
      <c r="G61" s="430"/>
      <c r="H61" s="430"/>
    </row>
    <row r="62" spans="1:27" s="170" customFormat="1" x14ac:dyDescent="0.2">
      <c r="A62" s="122"/>
      <c r="B62" s="121"/>
      <c r="C62" s="122"/>
      <c r="D62" s="168"/>
      <c r="E62" s="208"/>
      <c r="F62" s="430" t="s">
        <v>153</v>
      </c>
      <c r="G62" s="430"/>
      <c r="H62" s="430"/>
      <c r="I62" s="453"/>
      <c r="J62" s="453"/>
      <c r="K62" s="111"/>
      <c r="L62" s="112"/>
      <c r="M62" s="113"/>
      <c r="N62" s="132"/>
      <c r="O62" s="115"/>
      <c r="P62" s="115"/>
      <c r="Q62"/>
      <c r="R62"/>
      <c r="S62"/>
      <c r="T62"/>
      <c r="U62"/>
      <c r="V62"/>
      <c r="W62"/>
      <c r="X62"/>
      <c r="Y62"/>
      <c r="Z62"/>
      <c r="AA62"/>
    </row>
    <row r="67" spans="10:12" x14ac:dyDescent="0.2">
      <c r="J67" s="112"/>
      <c r="L67" s="113"/>
    </row>
    <row r="68" spans="10:12" x14ac:dyDescent="0.2">
      <c r="J68" s="112"/>
      <c r="L68" s="113"/>
    </row>
    <row r="69" spans="10:12" x14ac:dyDescent="0.2">
      <c r="L69" s="113"/>
    </row>
    <row r="70" spans="10:12" x14ac:dyDescent="0.2">
      <c r="J70" s="112"/>
      <c r="L70" s="113"/>
    </row>
    <row r="71" spans="10:12" x14ac:dyDescent="0.2">
      <c r="J71" s="112"/>
      <c r="L71" s="113"/>
    </row>
  </sheetData>
  <sheetProtection algorithmName="SHA-512" hashValue="FpbvgquGBPiCmEeoalzTR8UVOqomdudZ5i3dDWy5FAofTtUx2IyNZiStNsEJnzSClbO4JC0zVjgwYzX11D+vFQ==" saltValue="/zc2Emq4BOizw3dCSjUm5w==" spinCount="100000" sheet="1" objects="1" scenarios="1" selectLockedCells="1"/>
  <mergeCells count="81">
    <mergeCell ref="A29:A30"/>
    <mergeCell ref="B29:B30"/>
    <mergeCell ref="C29:E30"/>
    <mergeCell ref="J17:J18"/>
    <mergeCell ref="A37:A38"/>
    <mergeCell ref="B37:B38"/>
    <mergeCell ref="C37:E38"/>
    <mergeCell ref="A33:A34"/>
    <mergeCell ref="B33:B34"/>
    <mergeCell ref="C33:E34"/>
    <mergeCell ref="A7:J7"/>
    <mergeCell ref="A21:A22"/>
    <mergeCell ref="B21:B22"/>
    <mergeCell ref="C21:E22"/>
    <mergeCell ref="I21:I22"/>
    <mergeCell ref="J21:J22"/>
    <mergeCell ref="A14:A15"/>
    <mergeCell ref="J14:J15"/>
    <mergeCell ref="B14:B15"/>
    <mergeCell ref="C14:C15"/>
    <mergeCell ref="D14:D15"/>
    <mergeCell ref="J10:J11"/>
    <mergeCell ref="A17:A18"/>
    <mergeCell ref="B17:B18"/>
    <mergeCell ref="I10:I11"/>
    <mergeCell ref="I17:I18"/>
    <mergeCell ref="A9:J9"/>
    <mergeCell ref="I25:I26"/>
    <mergeCell ref="A10:A11"/>
    <mergeCell ref="B10:E10"/>
    <mergeCell ref="B11:E11"/>
    <mergeCell ref="F10:H10"/>
    <mergeCell ref="F11:H11"/>
    <mergeCell ref="A25:A26"/>
    <mergeCell ref="B25:B26"/>
    <mergeCell ref="C25:E26"/>
    <mergeCell ref="C17:E18"/>
    <mergeCell ref="K46:L46"/>
    <mergeCell ref="B50:E51"/>
    <mergeCell ref="I50:I51"/>
    <mergeCell ref="J50:J51"/>
    <mergeCell ref="J25:J26"/>
    <mergeCell ref="I29:I30"/>
    <mergeCell ref="J29:J30"/>
    <mergeCell ref="I33:I34"/>
    <mergeCell ref="J33:J34"/>
    <mergeCell ref="I37:I38"/>
    <mergeCell ref="J37:J38"/>
    <mergeCell ref="B46:E47"/>
    <mergeCell ref="I54:I55"/>
    <mergeCell ref="J54:J55"/>
    <mergeCell ref="B58:E59"/>
    <mergeCell ref="I58:I59"/>
    <mergeCell ref="J58:J59"/>
    <mergeCell ref="I56:I57"/>
    <mergeCell ref="J56:J57"/>
    <mergeCell ref="I48:I49"/>
    <mergeCell ref="J48:J49"/>
    <mergeCell ref="J46:J47"/>
    <mergeCell ref="A50:A51"/>
    <mergeCell ref="A52:A53"/>
    <mergeCell ref="I62:J62"/>
    <mergeCell ref="B52:E53"/>
    <mergeCell ref="I52:I53"/>
    <mergeCell ref="J52:J53"/>
    <mergeCell ref="A1:J4"/>
    <mergeCell ref="F61:H61"/>
    <mergeCell ref="F62:H62"/>
    <mergeCell ref="A58:A59"/>
    <mergeCell ref="A41:H41"/>
    <mergeCell ref="A56:A57"/>
    <mergeCell ref="B56:E57"/>
    <mergeCell ref="A42:H42"/>
    <mergeCell ref="A43:H43"/>
    <mergeCell ref="A44:H44"/>
    <mergeCell ref="A48:A49"/>
    <mergeCell ref="B48:E49"/>
    <mergeCell ref="A46:A47"/>
    <mergeCell ref="A54:A55"/>
    <mergeCell ref="C45:E45"/>
    <mergeCell ref="B54:E55"/>
  </mergeCells>
  <phoneticPr fontId="49" type="noConversion"/>
  <printOptions horizontalCentered="1"/>
  <pageMargins left="0.39370078740157483" right="0.35433070866141736" top="0.39370078740157483" bottom="0.39370078740157483" header="0.23622047244094491" footer="0.23622047244094491"/>
  <pageSetup paperSize="9" scale="60" fitToHeight="5" orientation="landscape" r:id="rId1"/>
  <headerFooter alignWithMargins="0">
    <oddFooter>&amp;C&amp;"Times New Roman,Negrito itálico"Página 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2"/>
  <dimension ref="A1:R50"/>
  <sheetViews>
    <sheetView view="pageBreakPreview" zoomScale="80" zoomScaleSheetLayoutView="80" workbookViewId="0">
      <selection activeCell="H21" sqref="H21"/>
    </sheetView>
  </sheetViews>
  <sheetFormatPr defaultRowHeight="12.75" x14ac:dyDescent="0.2"/>
  <cols>
    <col min="1" max="1" width="7.140625" customWidth="1"/>
    <col min="2" max="2" width="62.5703125" customWidth="1"/>
    <col min="3" max="3" width="19.140625" bestFit="1" customWidth="1"/>
    <col min="4" max="5" width="15.140625" bestFit="1" customWidth="1"/>
    <col min="6" max="6" width="13.85546875" customWidth="1"/>
    <col min="7" max="8" width="15.140625" bestFit="1" customWidth="1"/>
    <col min="9" max="9" width="13.85546875" customWidth="1"/>
    <col min="10" max="11" width="15.140625" bestFit="1" customWidth="1"/>
    <col min="12" max="12" width="13.85546875" customWidth="1"/>
    <col min="13" max="13" width="20.42578125" customWidth="1"/>
    <col min="14" max="14" width="14.28515625" style="248" customWidth="1"/>
    <col min="15" max="15" width="0" hidden="1" customWidth="1"/>
    <col min="16" max="18" width="0" style="249" hidden="1" customWidth="1"/>
    <col min="19" max="20" width="0" hidden="1" customWidth="1"/>
  </cols>
  <sheetData>
    <row r="1" spans="1:18" s="243" customFormat="1" ht="14.25" customHeight="1" x14ac:dyDescent="0.2">
      <c r="A1" s="526" t="str">
        <f>'3.A'!A1:J4</f>
        <v>TIMBRE LICITANTE</v>
      </c>
      <c r="B1" s="526"/>
      <c r="C1" s="526"/>
      <c r="D1" s="526"/>
      <c r="E1" s="526"/>
      <c r="F1" s="526"/>
      <c r="G1" s="526"/>
      <c r="H1" s="526"/>
      <c r="I1" s="526"/>
      <c r="J1" s="526"/>
      <c r="K1" s="526"/>
      <c r="L1" s="526"/>
      <c r="M1" s="526"/>
      <c r="P1" s="244"/>
      <c r="Q1" s="244"/>
      <c r="R1" s="244"/>
    </row>
    <row r="2" spans="1:18" s="243" customFormat="1" ht="14.1" customHeight="1" x14ac:dyDescent="0.2">
      <c r="A2" s="526"/>
      <c r="B2" s="526"/>
      <c r="C2" s="526"/>
      <c r="D2" s="526"/>
      <c r="E2" s="526"/>
      <c r="F2" s="526"/>
      <c r="G2" s="526"/>
      <c r="H2" s="526"/>
      <c r="I2" s="526"/>
      <c r="J2" s="526"/>
      <c r="K2" s="526"/>
      <c r="L2" s="526"/>
      <c r="M2" s="526"/>
      <c r="P2" s="244"/>
      <c r="Q2" s="244"/>
      <c r="R2" s="244"/>
    </row>
    <row r="3" spans="1:18" s="243" customFormat="1" ht="8.1" customHeight="1" x14ac:dyDescent="0.2">
      <c r="A3" s="526"/>
      <c r="B3" s="526"/>
      <c r="C3" s="526"/>
      <c r="D3" s="526"/>
      <c r="E3" s="526"/>
      <c r="F3" s="526"/>
      <c r="G3" s="526"/>
      <c r="H3" s="526"/>
      <c r="I3" s="526"/>
      <c r="J3" s="526"/>
      <c r="K3" s="526"/>
      <c r="L3" s="526"/>
      <c r="M3" s="526"/>
      <c r="P3" s="244"/>
      <c r="Q3" s="244"/>
      <c r="R3" s="244"/>
    </row>
    <row r="4" spans="1:18" s="243" customFormat="1" ht="14.25" customHeight="1" x14ac:dyDescent="0.2">
      <c r="A4" s="526"/>
      <c r="B4" s="526"/>
      <c r="C4" s="526"/>
      <c r="D4" s="526"/>
      <c r="E4" s="526"/>
      <c r="F4" s="526"/>
      <c r="G4" s="526"/>
      <c r="H4" s="526"/>
      <c r="I4" s="526"/>
      <c r="J4" s="526"/>
      <c r="K4" s="526"/>
      <c r="L4" s="526"/>
      <c r="M4" s="526"/>
      <c r="P4" s="244"/>
      <c r="Q4" s="244"/>
      <c r="R4" s="244"/>
    </row>
    <row r="5" spans="1:18" s="243" customFormat="1" ht="20.25" customHeight="1" x14ac:dyDescent="0.2">
      <c r="A5" s="526"/>
      <c r="B5" s="526"/>
      <c r="C5" s="526"/>
      <c r="D5" s="526"/>
      <c r="E5" s="526"/>
      <c r="F5" s="526"/>
      <c r="G5" s="526"/>
      <c r="H5" s="526"/>
      <c r="I5" s="526"/>
      <c r="J5" s="526"/>
      <c r="K5" s="526"/>
      <c r="L5" s="526"/>
      <c r="M5" s="526"/>
      <c r="P5" s="244"/>
      <c r="Q5" s="244"/>
      <c r="R5" s="244"/>
    </row>
    <row r="6" spans="1:18" s="116" customFormat="1" ht="9" customHeight="1" x14ac:dyDescent="0.2">
      <c r="A6" s="122"/>
      <c r="B6" s="122"/>
      <c r="C6" s="121"/>
      <c r="D6" s="122"/>
      <c r="E6" s="123"/>
      <c r="F6" s="208"/>
      <c r="G6" s="123"/>
      <c r="H6" s="123"/>
      <c r="I6" s="123"/>
      <c r="J6" s="123"/>
      <c r="K6" s="123"/>
      <c r="L6" s="123"/>
      <c r="P6" s="122"/>
      <c r="Q6" s="122"/>
      <c r="R6" s="122"/>
    </row>
    <row r="7" spans="1:18" s="245" customFormat="1" ht="14.1" customHeight="1" x14ac:dyDescent="0.2">
      <c r="A7" s="561" t="s">
        <v>158</v>
      </c>
      <c r="B7" s="561"/>
      <c r="C7" s="561"/>
      <c r="D7" s="561"/>
      <c r="E7" s="561"/>
      <c r="F7" s="561"/>
      <c r="G7" s="561"/>
      <c r="H7" s="561"/>
      <c r="I7" s="561"/>
      <c r="J7" s="561"/>
      <c r="K7" s="561"/>
      <c r="L7" s="561"/>
      <c r="M7" s="561"/>
      <c r="O7" s="243"/>
      <c r="P7" s="246"/>
      <c r="Q7" s="246"/>
      <c r="R7" s="246"/>
    </row>
    <row r="8" spans="1:18" s="245" customFormat="1" ht="9" customHeight="1" x14ac:dyDescent="0.2">
      <c r="A8" s="147"/>
      <c r="B8" s="147"/>
      <c r="C8" s="147"/>
      <c r="D8" s="147"/>
      <c r="E8" s="147"/>
      <c r="F8" s="147"/>
      <c r="G8" s="147"/>
      <c r="H8" s="147"/>
      <c r="I8" s="147"/>
      <c r="J8" s="147"/>
      <c r="K8" s="147"/>
      <c r="L8" s="147"/>
      <c r="M8" s="147"/>
      <c r="O8" s="243"/>
      <c r="P8" s="246"/>
      <c r="Q8" s="246"/>
      <c r="R8" s="246"/>
    </row>
    <row r="9" spans="1:18" s="245" customFormat="1" ht="12" customHeight="1" x14ac:dyDescent="0.2">
      <c r="A9" s="581" t="str">
        <f>'3.A'!$A$9</f>
        <v xml:space="preserve">OBJETO: FORNECIMENTO E INSTALAÇÃO DE GUARDA-CORPOS, ESCADAS MARINHEIROS E GRADES-PISO, EM FIBRA DE VIDRO, NAS ÁREAS DE PROCESSO DA ESTAÇÃO DE TRATAMENTO DE ÁGUA. </v>
      </c>
      <c r="B9" s="581"/>
      <c r="C9" s="581"/>
      <c r="D9" s="581"/>
      <c r="E9" s="581"/>
      <c r="F9" s="581"/>
      <c r="G9" s="581"/>
      <c r="H9" s="581"/>
      <c r="I9" s="581"/>
      <c r="J9" s="581"/>
      <c r="K9" s="581"/>
      <c r="L9" s="581"/>
      <c r="M9" s="581"/>
      <c r="O9" s="243"/>
      <c r="P9" s="246"/>
      <c r="Q9" s="246"/>
      <c r="R9" s="246"/>
    </row>
    <row r="10" spans="1:18" s="245" customFormat="1" ht="12" customHeight="1" x14ac:dyDescent="0.2">
      <c r="A10" s="581"/>
      <c r="B10" s="581"/>
      <c r="C10" s="581"/>
      <c r="D10" s="581"/>
      <c r="E10" s="581"/>
      <c r="F10" s="581"/>
      <c r="G10" s="581"/>
      <c r="H10" s="581"/>
      <c r="I10" s="581"/>
      <c r="J10" s="581"/>
      <c r="K10" s="581"/>
      <c r="L10" s="581"/>
      <c r="M10" s="581"/>
      <c r="O10" s="243"/>
      <c r="P10" s="246"/>
      <c r="Q10" s="246"/>
      <c r="R10" s="246"/>
    </row>
    <row r="11" spans="1:18" s="245" customFormat="1" ht="18.75" customHeight="1" thickBot="1" x14ac:dyDescent="0.25">
      <c r="A11" s="247"/>
      <c r="B11" s="247"/>
      <c r="C11" s="247"/>
      <c r="D11" s="247"/>
      <c r="E11" s="247"/>
      <c r="F11" s="247"/>
      <c r="G11" s="247"/>
      <c r="H11" s="247"/>
      <c r="I11" s="247"/>
      <c r="J11" s="247"/>
      <c r="K11" s="247"/>
      <c r="L11" s="247"/>
      <c r="M11" s="247"/>
      <c r="O11" s="243"/>
      <c r="P11" s="246"/>
      <c r="Q11" s="246"/>
      <c r="R11" s="246"/>
    </row>
    <row r="12" spans="1:18" ht="20.100000000000001" customHeight="1" thickTop="1" x14ac:dyDescent="0.3">
      <c r="A12" s="562"/>
      <c r="B12" s="562"/>
      <c r="C12" s="563"/>
      <c r="D12" s="564" t="s">
        <v>59</v>
      </c>
      <c r="E12" s="565"/>
      <c r="F12" s="565"/>
      <c r="G12" s="566" t="s">
        <v>60</v>
      </c>
      <c r="H12" s="565"/>
      <c r="I12" s="565"/>
      <c r="J12" s="566" t="s">
        <v>61</v>
      </c>
      <c r="K12" s="565"/>
      <c r="L12" s="567"/>
      <c r="M12" s="570"/>
    </row>
    <row r="13" spans="1:18" ht="20.100000000000001" customHeight="1" thickBot="1" x14ac:dyDescent="0.25">
      <c r="A13" s="562"/>
      <c r="B13" s="562"/>
      <c r="C13" s="563"/>
      <c r="D13" s="250" t="s">
        <v>103</v>
      </c>
      <c r="E13" s="251" t="s">
        <v>22</v>
      </c>
      <c r="F13" s="251" t="s">
        <v>104</v>
      </c>
      <c r="G13" s="251" t="s">
        <v>103</v>
      </c>
      <c r="H13" s="251" t="s">
        <v>22</v>
      </c>
      <c r="I13" s="251" t="s">
        <v>104</v>
      </c>
      <c r="J13" s="251" t="s">
        <v>103</v>
      </c>
      <c r="K13" s="251" t="s">
        <v>22</v>
      </c>
      <c r="L13" s="252" t="s">
        <v>104</v>
      </c>
      <c r="M13" s="571"/>
    </row>
    <row r="14" spans="1:18" ht="23.1" customHeight="1" thickTop="1" x14ac:dyDescent="0.2">
      <c r="A14" s="582" t="str">
        <f>'3.A'!$A$17</f>
        <v>1.0</v>
      </c>
      <c r="B14" s="584" t="str">
        <f>'3.A'!$B$17</f>
        <v>CANTEIRO DE OBRAS</v>
      </c>
      <c r="C14" s="568">
        <f>'3.A'!$I$17</f>
        <v>0</v>
      </c>
      <c r="D14" s="530" t="e">
        <f>D15+E15+F15</f>
        <v>#DIV/0!</v>
      </c>
      <c r="E14" s="531"/>
      <c r="F14" s="531"/>
      <c r="G14" s="530" t="e">
        <f>G15+H15+I15</f>
        <v>#DIV/0!</v>
      </c>
      <c r="H14" s="531"/>
      <c r="I14" s="532"/>
      <c r="J14" s="530" t="e">
        <f>J15+K15+L15</f>
        <v>#DIV/0!</v>
      </c>
      <c r="K14" s="531"/>
      <c r="L14" s="532"/>
      <c r="M14" s="533" t="e">
        <f>SUM(D15:L15)</f>
        <v>#DIV/0!</v>
      </c>
      <c r="P14" s="253" t="s">
        <v>59</v>
      </c>
      <c r="Q14" s="253" t="s">
        <v>60</v>
      </c>
      <c r="R14" s="253" t="s">
        <v>61</v>
      </c>
    </row>
    <row r="15" spans="1:18" ht="23.1" customHeight="1" x14ac:dyDescent="0.2">
      <c r="A15" s="583"/>
      <c r="B15" s="585"/>
      <c r="C15" s="569"/>
      <c r="D15" s="32" t="e">
        <f>ROUND('3.A'!$F$19*$P$15,2)</f>
        <v>#DIV/0!</v>
      </c>
      <c r="E15" s="32" t="e">
        <f>ROUND('3.A'!$G$19*$P$15,2)</f>
        <v>#DIV/0!</v>
      </c>
      <c r="F15" s="32" t="e">
        <f>ROUND('3.A'!$H$19*$P$15,2)</f>
        <v>#DIV/0!</v>
      </c>
      <c r="G15" s="32" t="e">
        <f>ROUND('3.A'!$F$19*$Q$15,2)</f>
        <v>#DIV/0!</v>
      </c>
      <c r="H15" s="32" t="e">
        <f>ROUND('3.A'!$G$19*$Q$15,2)</f>
        <v>#DIV/0!</v>
      </c>
      <c r="I15" s="32" t="e">
        <f>ROUND('3.A'!$H$19*$Q$15,2)</f>
        <v>#DIV/0!</v>
      </c>
      <c r="J15" s="32" t="e">
        <f>'3.A'!F48-D15-G15</f>
        <v>#DIV/0!</v>
      </c>
      <c r="K15" s="32" t="e">
        <f>'3.A'!G48-E15-H15</f>
        <v>#DIV/0!</v>
      </c>
      <c r="L15" s="32" t="e">
        <f>'3.A'!H48-F15-I15</f>
        <v>#DIV/0!</v>
      </c>
      <c r="M15" s="534"/>
      <c r="P15" s="254" t="e">
        <f>(D17+D20+D23+D26+D29)/($C$17+$C$20+$C$23+$C$26+$C$29)</f>
        <v>#DIV/0!</v>
      </c>
      <c r="Q15" s="254" t="e">
        <f>(G17+G20+G23+G26+G29)/($C$17+$C$20+$C$23+$C$26+$C$29)</f>
        <v>#DIV/0!</v>
      </c>
      <c r="R15" s="254" t="e">
        <f>(J17+J20+J23+J26+J29)/($C$17+$C$20+$C$23+$C$26+$C$29)</f>
        <v>#DIV/0!</v>
      </c>
    </row>
    <row r="16" spans="1:18" ht="23.1" customHeight="1" x14ac:dyDescent="0.2">
      <c r="A16" s="583"/>
      <c r="B16" s="585"/>
      <c r="C16" s="89" t="e">
        <f>C14/$C$33</f>
        <v>#DIV/0!</v>
      </c>
      <c r="D16" s="535" t="e">
        <f>D14/$C$14</f>
        <v>#DIV/0!</v>
      </c>
      <c r="E16" s="536"/>
      <c r="F16" s="536"/>
      <c r="G16" s="535" t="e">
        <f>G14/$C$14</f>
        <v>#DIV/0!</v>
      </c>
      <c r="H16" s="536"/>
      <c r="I16" s="536"/>
      <c r="J16" s="535" t="e">
        <f>J14/$C$14</f>
        <v>#DIV/0!</v>
      </c>
      <c r="K16" s="536"/>
      <c r="L16" s="536"/>
      <c r="M16" s="91" t="e">
        <f>M14/C14</f>
        <v>#DIV/0!</v>
      </c>
    </row>
    <row r="17" spans="1:18" ht="23.1" customHeight="1" x14ac:dyDescent="0.2">
      <c r="A17" s="573" t="str">
        <f>'3.A'!$A$21</f>
        <v>2.0</v>
      </c>
      <c r="B17" s="575" t="str">
        <f>'3.A'!$B$21</f>
        <v>GUARDA CORPO PLANO EM FIBRA DE VIDRO PULTRUDADA</v>
      </c>
      <c r="C17" s="579">
        <f>'3.A'!$I$21</f>
        <v>0</v>
      </c>
      <c r="D17" s="537">
        <f>D18+E18+F18</f>
        <v>0</v>
      </c>
      <c r="E17" s="538"/>
      <c r="F17" s="538"/>
      <c r="G17" s="537">
        <f>G18+H18+I18</f>
        <v>0</v>
      </c>
      <c r="H17" s="538"/>
      <c r="I17" s="539"/>
      <c r="J17" s="537">
        <f>J18+K18+L18</f>
        <v>0</v>
      </c>
      <c r="K17" s="538"/>
      <c r="L17" s="539"/>
      <c r="M17" s="572">
        <f>SUM(D18:L18)</f>
        <v>0</v>
      </c>
    </row>
    <row r="18" spans="1:18" ht="23.1" customHeight="1" x14ac:dyDescent="0.2">
      <c r="A18" s="574"/>
      <c r="B18" s="576"/>
      <c r="C18" s="580"/>
      <c r="D18" s="94">
        <f>ROUND('3.A'!$F$50*0.3,2)</f>
        <v>0</v>
      </c>
      <c r="E18" s="94">
        <f>ROUND('3.A'!$G$50*0.3,2)</f>
        <v>0</v>
      </c>
      <c r="F18" s="94">
        <f>ROUND('3.A'!$H$50*0.3,2)</f>
        <v>0</v>
      </c>
      <c r="G18" s="94">
        <f>ROUND('3.A'!$F$50*0.4,2)</f>
        <v>0</v>
      </c>
      <c r="H18" s="94">
        <f>ROUND('3.A'!$G$50*0.4,2)</f>
        <v>0</v>
      </c>
      <c r="I18" s="94">
        <f>ROUND('3.A'!$H$50*0.4,2)</f>
        <v>0</v>
      </c>
      <c r="J18" s="94">
        <f>ROUND('3.A'!$F$50-D18-G18,2)</f>
        <v>0</v>
      </c>
      <c r="K18" s="94">
        <f>ROUND('3.A'!$G$50-E18-H18,2)</f>
        <v>0</v>
      </c>
      <c r="L18" s="94">
        <f>ROUND('3.A'!$H$50-F18-I18,2)</f>
        <v>0</v>
      </c>
      <c r="M18" s="549"/>
    </row>
    <row r="19" spans="1:18" ht="23.1" customHeight="1" x14ac:dyDescent="0.2">
      <c r="A19" s="574"/>
      <c r="B19" s="576"/>
      <c r="C19" s="102" t="e">
        <f>C17/$C$33</f>
        <v>#DIV/0!</v>
      </c>
      <c r="D19" s="577" t="e">
        <f>D17/$C$17</f>
        <v>#DIV/0!</v>
      </c>
      <c r="E19" s="578"/>
      <c r="F19" s="578"/>
      <c r="G19" s="577" t="e">
        <f>G17/$C$17</f>
        <v>#DIV/0!</v>
      </c>
      <c r="H19" s="578"/>
      <c r="I19" s="578"/>
      <c r="J19" s="577" t="e">
        <f>J17/$C$17</f>
        <v>#DIV/0!</v>
      </c>
      <c r="K19" s="578"/>
      <c r="L19" s="578"/>
      <c r="M19" s="96" t="e">
        <f>M17/C17</f>
        <v>#DIV/0!</v>
      </c>
    </row>
    <row r="20" spans="1:18" ht="23.1" customHeight="1" x14ac:dyDescent="0.2">
      <c r="A20" s="583" t="str">
        <f>'3.A'!$A$25</f>
        <v>3.0</v>
      </c>
      <c r="B20" s="585" t="str">
        <f>'3.A'!$B$25</f>
        <v>GUARDA CORPO ESCADA EM FIBRA DE VIDRO PULTRUDADA</v>
      </c>
      <c r="C20" s="586">
        <f>'3.A'!$I$25</f>
        <v>0</v>
      </c>
      <c r="D20" s="540">
        <f>D21+E21+F21</f>
        <v>0</v>
      </c>
      <c r="E20" s="541"/>
      <c r="F20" s="542"/>
      <c r="G20" s="540">
        <f>G21+H21+I21</f>
        <v>0</v>
      </c>
      <c r="H20" s="541"/>
      <c r="I20" s="542"/>
      <c r="J20" s="540">
        <f>J21+K21+L21</f>
        <v>0</v>
      </c>
      <c r="K20" s="541"/>
      <c r="L20" s="542"/>
      <c r="M20" s="534">
        <f>SUM(D21:L21)</f>
        <v>0</v>
      </c>
    </row>
    <row r="21" spans="1:18" ht="23.1" customHeight="1" x14ac:dyDescent="0.2">
      <c r="A21" s="583"/>
      <c r="B21" s="585"/>
      <c r="C21" s="586"/>
      <c r="D21" s="32">
        <f>ROUND('3.A'!$F$52*0.3,2)</f>
        <v>0</v>
      </c>
      <c r="E21" s="32">
        <f>ROUND('3.A'!$G$52*0.3,2)</f>
        <v>0</v>
      </c>
      <c r="F21" s="32">
        <f>ROUND('3.A'!$H$52*0.3,2)</f>
        <v>0</v>
      </c>
      <c r="G21" s="32">
        <f>ROUND('3.A'!$F$52*0.4,2)</f>
        <v>0</v>
      </c>
      <c r="H21" s="32">
        <f>ROUND('3.A'!$G$52*0.4,2)</f>
        <v>0</v>
      </c>
      <c r="I21" s="32">
        <f>ROUND('3.A'!$H$52*0.4,2)</f>
        <v>0</v>
      </c>
      <c r="J21" s="32">
        <f>ROUND('3.A'!$F$52-D21-G21,2)</f>
        <v>0</v>
      </c>
      <c r="K21" s="32">
        <f>ROUND('3.A'!$G$52-E21-H21,2)</f>
        <v>0</v>
      </c>
      <c r="L21" s="32">
        <f>ROUND('3.A'!$H$52-F21-I21,2)</f>
        <v>0</v>
      </c>
      <c r="M21" s="534"/>
    </row>
    <row r="22" spans="1:18" s="256" customFormat="1" ht="23.1" customHeight="1" x14ac:dyDescent="0.2">
      <c r="A22" s="583"/>
      <c r="B22" s="585"/>
      <c r="C22" s="90" t="e">
        <f>C20/$C$33</f>
        <v>#DIV/0!</v>
      </c>
      <c r="D22" s="543" t="e">
        <f>D20/$C$20</f>
        <v>#DIV/0!</v>
      </c>
      <c r="E22" s="544"/>
      <c r="F22" s="545"/>
      <c r="G22" s="543" t="e">
        <f t="shared" ref="G22" si="0">G20/$C$20</f>
        <v>#DIV/0!</v>
      </c>
      <c r="H22" s="544"/>
      <c r="I22" s="545"/>
      <c r="J22" s="543" t="e">
        <f t="shared" ref="J22" si="1">J20/$C$20</f>
        <v>#DIV/0!</v>
      </c>
      <c r="K22" s="544"/>
      <c r="L22" s="545"/>
      <c r="M22" s="91" t="e">
        <f>M20/C20</f>
        <v>#DIV/0!</v>
      </c>
      <c r="N22" s="255"/>
      <c r="P22" s="257"/>
      <c r="Q22" s="257"/>
      <c r="R22" s="106"/>
    </row>
    <row r="23" spans="1:18" ht="23.1" customHeight="1" x14ac:dyDescent="0.2">
      <c r="A23" s="574" t="str">
        <f>'3.A'!$A$29</f>
        <v>4.0</v>
      </c>
      <c r="B23" s="576" t="str">
        <f>'3.A'!$B$29</f>
        <v>GUARDA CORPO PLANO EM AÇO INOX</v>
      </c>
      <c r="C23" s="593">
        <f>'3.A'!$I$29</f>
        <v>0</v>
      </c>
      <c r="D23" s="546">
        <f>D24+E24+F24</f>
        <v>0</v>
      </c>
      <c r="E23" s="547"/>
      <c r="F23" s="548"/>
      <c r="G23" s="546">
        <f>G24+H24+I24</f>
        <v>0</v>
      </c>
      <c r="H23" s="547"/>
      <c r="I23" s="548"/>
      <c r="J23" s="546">
        <f>J24+K24+L24</f>
        <v>0</v>
      </c>
      <c r="K23" s="547"/>
      <c r="L23" s="548"/>
      <c r="M23" s="549">
        <f>SUM(D24:L24)</f>
        <v>0</v>
      </c>
    </row>
    <row r="24" spans="1:18" ht="23.1" customHeight="1" x14ac:dyDescent="0.2">
      <c r="A24" s="574"/>
      <c r="B24" s="576"/>
      <c r="C24" s="593"/>
      <c r="D24" s="94">
        <f>ROUND('3.A'!$F$54*0.3,2)</f>
        <v>0</v>
      </c>
      <c r="E24" s="94">
        <f>ROUND('3.A'!$G$54*0.3,2)</f>
        <v>0</v>
      </c>
      <c r="F24" s="94">
        <f>ROUND('3.A'!$H$54*0.3,2)</f>
        <v>0</v>
      </c>
      <c r="G24" s="94">
        <f>ROUND('3.A'!$F$54*0.4,2)</f>
        <v>0</v>
      </c>
      <c r="H24" s="94">
        <f>ROUND('3.A'!$G$54*0.4,2)</f>
        <v>0</v>
      </c>
      <c r="I24" s="94">
        <f>ROUND('3.A'!$H$54*0.4,2)</f>
        <v>0</v>
      </c>
      <c r="J24" s="94">
        <f>ROUND('3.A'!$F$54-D24-G24,2)</f>
        <v>0</v>
      </c>
      <c r="K24" s="94">
        <f>ROUND('3.A'!$G$54-E24-H24,2)</f>
        <v>0</v>
      </c>
      <c r="L24" s="94">
        <f>ROUND('3.A'!$H$54-F24-I24,2)</f>
        <v>0</v>
      </c>
      <c r="M24" s="549"/>
    </row>
    <row r="25" spans="1:18" s="256" customFormat="1" ht="23.1" customHeight="1" x14ac:dyDescent="0.2">
      <c r="A25" s="574"/>
      <c r="B25" s="576"/>
      <c r="C25" s="95" t="e">
        <f>C23/$C$33</f>
        <v>#DIV/0!</v>
      </c>
      <c r="D25" s="550" t="e">
        <f>D23/$C$23</f>
        <v>#DIV/0!</v>
      </c>
      <c r="E25" s="551"/>
      <c r="F25" s="552"/>
      <c r="G25" s="550" t="e">
        <f t="shared" ref="G25" si="2">G23/$C$23</f>
        <v>#DIV/0!</v>
      </c>
      <c r="H25" s="551"/>
      <c r="I25" s="552"/>
      <c r="J25" s="550" t="e">
        <f t="shared" ref="J25" si="3">J23/$C$23</f>
        <v>#DIV/0!</v>
      </c>
      <c r="K25" s="551"/>
      <c r="L25" s="552"/>
      <c r="M25" s="96" t="e">
        <f>M23/C23</f>
        <v>#DIV/0!</v>
      </c>
      <c r="N25" s="255"/>
      <c r="P25" s="257"/>
      <c r="Q25" s="257"/>
      <c r="R25" s="106"/>
    </row>
    <row r="26" spans="1:18" ht="23.1" customHeight="1" x14ac:dyDescent="0.2">
      <c r="A26" s="583" t="str">
        <f>'3.A'!$A$33</f>
        <v>5.0</v>
      </c>
      <c r="B26" s="585" t="str">
        <f>'3.A'!$B$33</f>
        <v>ESCADA MARINHEIRO EM FIBRA DE VIDRO PULTRUDADA</v>
      </c>
      <c r="C26" s="586">
        <f>'3.A'!$I$33</f>
        <v>0</v>
      </c>
      <c r="D26" s="540">
        <f>D27+E27+F27</f>
        <v>0</v>
      </c>
      <c r="E26" s="541"/>
      <c r="F26" s="542"/>
      <c r="G26" s="540">
        <f>G27+H27+I27</f>
        <v>0</v>
      </c>
      <c r="H26" s="541"/>
      <c r="I26" s="542"/>
      <c r="J26" s="540">
        <f>J27+K27+L27</f>
        <v>0</v>
      </c>
      <c r="K26" s="541"/>
      <c r="L26" s="542"/>
      <c r="M26" s="534">
        <f>SUM(D27:L27)</f>
        <v>0</v>
      </c>
    </row>
    <row r="27" spans="1:18" ht="23.1" customHeight="1" x14ac:dyDescent="0.2">
      <c r="A27" s="583"/>
      <c r="B27" s="585"/>
      <c r="C27" s="586"/>
      <c r="D27" s="32">
        <f>ROUND('3.A'!$F$56*0.3,2)</f>
        <v>0</v>
      </c>
      <c r="E27" s="32">
        <f>ROUND('3.A'!$G$56*0.3,2)</f>
        <v>0</v>
      </c>
      <c r="F27" s="32">
        <f>ROUND('3.A'!$H$56*0.3,2)</f>
        <v>0</v>
      </c>
      <c r="G27" s="32">
        <f>ROUND('3.A'!$F$56*0.4,2)</f>
        <v>0</v>
      </c>
      <c r="H27" s="32">
        <f>ROUND('3.A'!$G$56*0.4,2)</f>
        <v>0</v>
      </c>
      <c r="I27" s="32">
        <f>ROUND('3.A'!$H$56*0.4,2)</f>
        <v>0</v>
      </c>
      <c r="J27" s="32">
        <f>ROUND('3.A'!$F$56-D27-G27,2)</f>
        <v>0</v>
      </c>
      <c r="K27" s="32">
        <f>ROUND('3.A'!$G$56-E27-H27,2)</f>
        <v>0</v>
      </c>
      <c r="L27" s="32">
        <f>ROUND('3.A'!$H$56-F27-I27,2)</f>
        <v>0</v>
      </c>
      <c r="M27" s="534"/>
    </row>
    <row r="28" spans="1:18" s="256" customFormat="1" ht="23.1" customHeight="1" x14ac:dyDescent="0.2">
      <c r="A28" s="583"/>
      <c r="B28" s="585"/>
      <c r="C28" s="90" t="e">
        <f>C26/$C$33</f>
        <v>#DIV/0!</v>
      </c>
      <c r="D28" s="543" t="e">
        <f>D26/$C$26</f>
        <v>#DIV/0!</v>
      </c>
      <c r="E28" s="544"/>
      <c r="F28" s="545"/>
      <c r="G28" s="543" t="e">
        <f t="shared" ref="G28" si="4">G26/$C$26</f>
        <v>#DIV/0!</v>
      </c>
      <c r="H28" s="544"/>
      <c r="I28" s="545"/>
      <c r="J28" s="543" t="e">
        <f t="shared" ref="J28" si="5">J26/$C$26</f>
        <v>#DIV/0!</v>
      </c>
      <c r="K28" s="544"/>
      <c r="L28" s="545"/>
      <c r="M28" s="91" t="e">
        <f>M26/C26</f>
        <v>#DIV/0!</v>
      </c>
      <c r="N28" s="255"/>
      <c r="P28" s="257"/>
      <c r="Q28" s="257"/>
      <c r="R28" s="106"/>
    </row>
    <row r="29" spans="1:18" ht="23.1" customHeight="1" x14ac:dyDescent="0.2">
      <c r="A29" s="574" t="str">
        <f>'3.A'!$A$37</f>
        <v>6.0</v>
      </c>
      <c r="B29" s="576" t="str">
        <f>'3.A'!$B$37</f>
        <v>GRADE PISO EM FIBRA DE VIDRO INJETADA</v>
      </c>
      <c r="C29" s="593">
        <f>'3.A'!$I$37</f>
        <v>0</v>
      </c>
      <c r="D29" s="546">
        <f>D30+E30+F30</f>
        <v>0</v>
      </c>
      <c r="E29" s="547"/>
      <c r="F29" s="548"/>
      <c r="G29" s="546">
        <f>G30+H30+I30</f>
        <v>0</v>
      </c>
      <c r="H29" s="547"/>
      <c r="I29" s="548"/>
      <c r="J29" s="546">
        <f>J30+K30+L30</f>
        <v>0</v>
      </c>
      <c r="K29" s="547"/>
      <c r="L29" s="548"/>
      <c r="M29" s="549">
        <f>SUM(D30:L30)</f>
        <v>0</v>
      </c>
    </row>
    <row r="30" spans="1:18" ht="23.1" customHeight="1" x14ac:dyDescent="0.2">
      <c r="A30" s="574"/>
      <c r="B30" s="576"/>
      <c r="C30" s="593"/>
      <c r="D30" s="94">
        <f>ROUND('3.A'!$F$58*0.3,2)</f>
        <v>0</v>
      </c>
      <c r="E30" s="94">
        <f>ROUND('3.A'!$G$58*0.3,2)</f>
        <v>0</v>
      </c>
      <c r="F30" s="94">
        <f>ROUND('3.A'!$H$58*0.3,2)</f>
        <v>0</v>
      </c>
      <c r="G30" s="94">
        <f>ROUND('3.A'!$F$58*0.4,2)</f>
        <v>0</v>
      </c>
      <c r="H30" s="94">
        <f>ROUND('3.A'!$G$58*0.4,2)</f>
        <v>0</v>
      </c>
      <c r="I30" s="94">
        <f>ROUND('3.A'!$H$58*0.4,2)</f>
        <v>0</v>
      </c>
      <c r="J30" s="94">
        <f>ROUND('3.A'!$F$58-D30-G30,2)</f>
        <v>0</v>
      </c>
      <c r="K30" s="94">
        <f>ROUND('3.A'!$G$58-E30-H30,2)</f>
        <v>0</v>
      </c>
      <c r="L30" s="94">
        <f>ROUND('3.A'!$H$58-F30-I30,2)</f>
        <v>0</v>
      </c>
      <c r="M30" s="549"/>
    </row>
    <row r="31" spans="1:18" s="256" customFormat="1" ht="23.1" customHeight="1" thickBot="1" x14ac:dyDescent="0.25">
      <c r="A31" s="591"/>
      <c r="B31" s="592"/>
      <c r="C31" s="103" t="e">
        <f>C29/$C$33</f>
        <v>#DIV/0!</v>
      </c>
      <c r="D31" s="527" t="e">
        <f>D29/$C$29</f>
        <v>#DIV/0!</v>
      </c>
      <c r="E31" s="528"/>
      <c r="F31" s="529"/>
      <c r="G31" s="527" t="e">
        <f t="shared" ref="G31" si="6">G29/$C$29</f>
        <v>#DIV/0!</v>
      </c>
      <c r="H31" s="528"/>
      <c r="I31" s="529"/>
      <c r="J31" s="527" t="e">
        <f t="shared" ref="J31" si="7">J29/$C$29</f>
        <v>#DIV/0!</v>
      </c>
      <c r="K31" s="528"/>
      <c r="L31" s="529"/>
      <c r="M31" s="104" t="e">
        <f>M29/C29</f>
        <v>#DIV/0!</v>
      </c>
      <c r="N31" s="255"/>
      <c r="P31" s="257"/>
      <c r="Q31" s="257"/>
      <c r="R31" s="106"/>
    </row>
    <row r="32" spans="1:18" ht="16.5" thickTop="1" thickBot="1" x14ac:dyDescent="0.25">
      <c r="A32" s="258"/>
      <c r="B32" s="116"/>
      <c r="C32" s="29"/>
      <c r="D32" s="29"/>
      <c r="E32" s="29"/>
      <c r="F32" s="29"/>
      <c r="G32" s="30"/>
      <c r="H32" s="30"/>
      <c r="I32" s="30"/>
      <c r="J32" s="30"/>
      <c r="K32" s="30"/>
      <c r="L32" s="30"/>
      <c r="M32" s="31"/>
    </row>
    <row r="33" spans="1:18" ht="23.1" customHeight="1" thickTop="1" x14ac:dyDescent="0.2">
      <c r="A33" s="258"/>
      <c r="B33" s="594" t="s">
        <v>102</v>
      </c>
      <c r="C33" s="597">
        <f>ROUND(C14+C17+C20+C23+C26+C29,2)</f>
        <v>0</v>
      </c>
      <c r="D33" s="530" t="e">
        <f>D34+E34+F34</f>
        <v>#DIV/0!</v>
      </c>
      <c r="E33" s="531"/>
      <c r="F33" s="531"/>
      <c r="G33" s="595" t="e">
        <f>ROUND(G34+H34+I34,2)</f>
        <v>#DIV/0!</v>
      </c>
      <c r="H33" s="596"/>
      <c r="I33" s="596"/>
      <c r="J33" s="595" t="e">
        <f>ROUND(J34+K34+L34,2)</f>
        <v>#DIV/0!</v>
      </c>
      <c r="K33" s="596"/>
      <c r="L33" s="596"/>
      <c r="M33" s="587" t="e">
        <f>ROUND(M14+M17+M20+M23+M26+M29,2)</f>
        <v>#DIV/0!</v>
      </c>
    </row>
    <row r="34" spans="1:18" ht="23.1" customHeight="1" x14ac:dyDescent="0.2">
      <c r="A34" s="258"/>
      <c r="B34" s="594"/>
      <c r="C34" s="598"/>
      <c r="D34" s="33" t="e">
        <f>D15+D18+D21+D24+D27+D30</f>
        <v>#DIV/0!</v>
      </c>
      <c r="E34" s="33" t="e">
        <f t="shared" ref="E34:L34" si="8">E15+E18+E21+E24+E27+E30</f>
        <v>#DIV/0!</v>
      </c>
      <c r="F34" s="33" t="e">
        <f t="shared" si="8"/>
        <v>#DIV/0!</v>
      </c>
      <c r="G34" s="33" t="e">
        <f t="shared" si="8"/>
        <v>#DIV/0!</v>
      </c>
      <c r="H34" s="33" t="e">
        <f t="shared" si="8"/>
        <v>#DIV/0!</v>
      </c>
      <c r="I34" s="33" t="e">
        <f t="shared" si="8"/>
        <v>#DIV/0!</v>
      </c>
      <c r="J34" s="33" t="e">
        <f t="shared" si="8"/>
        <v>#DIV/0!</v>
      </c>
      <c r="K34" s="33" t="e">
        <f t="shared" si="8"/>
        <v>#DIV/0!</v>
      </c>
      <c r="L34" s="33" t="e">
        <f t="shared" si="8"/>
        <v>#DIV/0!</v>
      </c>
      <c r="M34" s="588"/>
    </row>
    <row r="35" spans="1:18" s="256" customFormat="1" ht="23.1" customHeight="1" thickBot="1" x14ac:dyDescent="0.25">
      <c r="A35" s="259"/>
      <c r="B35" s="594"/>
      <c r="C35" s="93" t="e">
        <f>C16+C19+C22+C25+C28+C31</f>
        <v>#DIV/0!</v>
      </c>
      <c r="D35" s="589" t="e">
        <f>ROUND(D33/$C$33,6)</f>
        <v>#DIV/0!</v>
      </c>
      <c r="E35" s="590"/>
      <c r="F35" s="590"/>
      <c r="G35" s="589" t="e">
        <f>ROUND(G33/$C$33,6)</f>
        <v>#DIV/0!</v>
      </c>
      <c r="H35" s="590"/>
      <c r="I35" s="590"/>
      <c r="J35" s="589" t="e">
        <f>ROUND(J33/$C$33,6)</f>
        <v>#DIV/0!</v>
      </c>
      <c r="K35" s="590"/>
      <c r="L35" s="590"/>
      <c r="M35" s="92" t="e">
        <f>ROUND(D35+J35+G35,6)</f>
        <v>#DIV/0!</v>
      </c>
      <c r="N35" s="255"/>
      <c r="P35" s="257"/>
      <c r="Q35" s="257"/>
      <c r="R35" s="257"/>
    </row>
    <row r="36" spans="1:18" ht="16.5" thickTop="1" thickBot="1" x14ac:dyDescent="0.25">
      <c r="A36" s="258"/>
      <c r="B36" s="260"/>
      <c r="C36" s="29"/>
      <c r="D36" s="29"/>
      <c r="E36" s="29"/>
      <c r="F36" s="29"/>
      <c r="G36" s="112"/>
      <c r="H36" s="112"/>
      <c r="I36" s="112"/>
      <c r="J36" s="112"/>
      <c r="K36" s="112"/>
      <c r="L36" s="112"/>
      <c r="M36" s="30"/>
    </row>
    <row r="37" spans="1:18" ht="23.1" customHeight="1" thickTop="1" x14ac:dyDescent="0.2">
      <c r="A37" s="261"/>
      <c r="B37" s="262" t="s">
        <v>100</v>
      </c>
      <c r="C37" s="263" t="s">
        <v>28</v>
      </c>
      <c r="D37" s="554" t="e">
        <f>D33</f>
        <v>#DIV/0!</v>
      </c>
      <c r="E37" s="554"/>
      <c r="F37" s="554"/>
      <c r="G37" s="554" t="e">
        <f>D37+G33</f>
        <v>#DIV/0!</v>
      </c>
      <c r="H37" s="554"/>
      <c r="I37" s="530"/>
      <c r="J37" s="554" t="e">
        <f>G37+J33</f>
        <v>#DIV/0!</v>
      </c>
      <c r="K37" s="554"/>
      <c r="L37" s="555"/>
      <c r="M37" s="123"/>
    </row>
    <row r="38" spans="1:18" ht="23.1" customHeight="1" x14ac:dyDescent="0.2">
      <c r="A38" s="261"/>
      <c r="B38" s="262" t="s">
        <v>100</v>
      </c>
      <c r="C38" s="264" t="s">
        <v>28</v>
      </c>
      <c r="D38" s="265" t="e">
        <f>D34</f>
        <v>#DIV/0!</v>
      </c>
      <c r="E38" s="265" t="e">
        <f>E34</f>
        <v>#DIV/0!</v>
      </c>
      <c r="F38" s="265" t="e">
        <f>F34</f>
        <v>#DIV/0!</v>
      </c>
      <c r="G38" s="265" t="e">
        <f>D38+G34</f>
        <v>#DIV/0!</v>
      </c>
      <c r="H38" s="265" t="e">
        <f>E38+H34</f>
        <v>#DIV/0!</v>
      </c>
      <c r="I38" s="266" t="e">
        <f>F38+I34</f>
        <v>#DIV/0!</v>
      </c>
      <c r="J38" s="265" t="e">
        <f>G38+J34</f>
        <v>#DIV/0!</v>
      </c>
      <c r="K38" s="265" t="e">
        <f>H38+K34</f>
        <v>#DIV/0!</v>
      </c>
      <c r="L38" s="267" t="e">
        <f>I38+L34</f>
        <v>#DIV/0!</v>
      </c>
      <c r="M38" s="123"/>
    </row>
    <row r="39" spans="1:18" ht="23.1" customHeight="1" x14ac:dyDescent="0.2">
      <c r="A39" s="261"/>
      <c r="B39" s="262" t="s">
        <v>101</v>
      </c>
      <c r="C39" s="264" t="s">
        <v>28</v>
      </c>
      <c r="D39" s="556" t="e">
        <f>ROUND($C$33-D37,2)</f>
        <v>#DIV/0!</v>
      </c>
      <c r="E39" s="556"/>
      <c r="F39" s="556"/>
      <c r="G39" s="556" t="e">
        <f>ROUND($C$33-G37,2)</f>
        <v>#DIV/0!</v>
      </c>
      <c r="H39" s="556"/>
      <c r="I39" s="560"/>
      <c r="J39" s="556" t="e">
        <f>ROUND($C$33-J37,2)</f>
        <v>#DIV/0!</v>
      </c>
      <c r="K39" s="556"/>
      <c r="L39" s="557"/>
      <c r="M39" s="123"/>
    </row>
    <row r="40" spans="1:18" ht="23.1" customHeight="1" thickBot="1" x14ac:dyDescent="0.25">
      <c r="A40" s="261"/>
      <c r="B40" s="262" t="s">
        <v>101</v>
      </c>
      <c r="C40" s="268" t="s">
        <v>28</v>
      </c>
      <c r="D40" s="269" t="e">
        <f>ROUND('3.A'!$I$42-'4.A'!D38,2)</f>
        <v>#DIV/0!</v>
      </c>
      <c r="E40" s="270" t="e">
        <f>ROUND('3.A'!$I$43-'4.A'!E38,2)</f>
        <v>#DIV/0!</v>
      </c>
      <c r="F40" s="269" t="e">
        <f>ROUND('3.A'!$I$44-'4.A'!F38,2)</f>
        <v>#DIV/0!</v>
      </c>
      <c r="G40" s="269" t="e">
        <f>ROUND('3.A'!$I$42-'4.A'!G38,2)</f>
        <v>#DIV/0!</v>
      </c>
      <c r="H40" s="270" t="e">
        <f>ROUND('3.A'!$I$43-'4.A'!H38,2)</f>
        <v>#DIV/0!</v>
      </c>
      <c r="I40" s="271" t="e">
        <f>ROUND('3.A'!$I$44-'4.A'!I38,2)</f>
        <v>#DIV/0!</v>
      </c>
      <c r="J40" s="269" t="e">
        <f>ROUND('3.A'!$I$42-'4.A'!J38,2)</f>
        <v>#DIV/0!</v>
      </c>
      <c r="K40" s="270" t="e">
        <f>ROUND('3.A'!$I$43-'4.A'!K38,2)</f>
        <v>#DIV/0!</v>
      </c>
      <c r="L40" s="272" t="e">
        <f>ROUND('3.A'!$I$44-'4.A'!L38,2)</f>
        <v>#DIV/0!</v>
      </c>
      <c r="M40" s="123"/>
    </row>
    <row r="41" spans="1:18" ht="6.95" customHeight="1" thickTop="1" x14ac:dyDescent="0.2">
      <c r="A41" s="125"/>
      <c r="B41" s="125"/>
      <c r="C41" s="122"/>
      <c r="D41" s="122"/>
      <c r="E41" s="122"/>
      <c r="F41" s="122"/>
      <c r="G41" s="220"/>
      <c r="H41" s="220"/>
      <c r="I41" s="220"/>
      <c r="J41" s="220"/>
      <c r="K41" s="220"/>
      <c r="L41" s="220"/>
      <c r="M41" s="147"/>
    </row>
    <row r="42" spans="1:18" x14ac:dyDescent="0.2">
      <c r="A42" s="558"/>
      <c r="B42" s="558"/>
      <c r="C42" s="558"/>
      <c r="D42" s="558"/>
      <c r="E42" s="558"/>
      <c r="F42" s="558"/>
      <c r="G42" s="558"/>
      <c r="H42" s="558"/>
      <c r="I42" s="558"/>
      <c r="J42" s="558"/>
      <c r="K42" s="558"/>
      <c r="L42" s="558"/>
      <c r="M42" s="558"/>
    </row>
    <row r="43" spans="1:18" x14ac:dyDescent="0.2">
      <c r="A43" s="559"/>
      <c r="B43" s="559"/>
      <c r="C43" s="559"/>
      <c r="D43" s="274"/>
      <c r="E43" s="274"/>
      <c r="F43" s="274"/>
      <c r="G43" s="559"/>
      <c r="H43" s="559"/>
      <c r="I43" s="559"/>
      <c r="J43" s="559"/>
      <c r="K43" s="559"/>
      <c r="L43" s="559"/>
      <c r="M43" s="559"/>
    </row>
    <row r="44" spans="1:18" x14ac:dyDescent="0.2">
      <c r="A44" s="553"/>
      <c r="B44" s="553"/>
      <c r="C44" s="553"/>
      <c r="D44" s="273"/>
      <c r="E44" s="273"/>
      <c r="F44" s="273"/>
      <c r="G44" s="275"/>
      <c r="H44" s="275"/>
      <c r="I44" s="275"/>
      <c r="J44" s="275"/>
      <c r="K44" s="275"/>
      <c r="L44" s="275"/>
      <c r="M44" s="275"/>
    </row>
    <row r="45" spans="1:18" hidden="1" x14ac:dyDescent="0.2">
      <c r="A45" s="276"/>
      <c r="B45" s="276"/>
      <c r="C45" s="276"/>
      <c r="D45" s="276"/>
      <c r="E45" s="276"/>
      <c r="F45" s="276"/>
      <c r="G45" s="276"/>
      <c r="H45" s="276"/>
      <c r="I45" s="276"/>
      <c r="J45" s="276"/>
      <c r="K45" s="276"/>
      <c r="L45" s="276"/>
      <c r="M45" s="276"/>
    </row>
    <row r="46" spans="1:18" hidden="1" x14ac:dyDescent="0.2">
      <c r="A46" s="276"/>
      <c r="B46" s="276"/>
      <c r="C46" s="276"/>
      <c r="D46" s="276"/>
      <c r="E46" s="274" t="e">
        <f>IF(D37=D38+E38+F38,"si","no")</f>
        <v>#DIV/0!</v>
      </c>
      <c r="F46" s="276"/>
      <c r="G46" s="276"/>
      <c r="H46" s="274" t="e">
        <f>IF(G37=G38+H38+I38,"si","no")</f>
        <v>#DIV/0!</v>
      </c>
      <c r="I46" s="276"/>
      <c r="J46" s="276"/>
      <c r="K46" s="274" t="e">
        <f>IF(J37=J38+K38+L38,"si","no")</f>
        <v>#DIV/0!</v>
      </c>
      <c r="L46" s="276"/>
      <c r="M46" s="276"/>
    </row>
    <row r="47" spans="1:18" hidden="1" x14ac:dyDescent="0.2">
      <c r="B47" s="276"/>
      <c r="E47" s="274" t="e">
        <f>IF(D39=D40+E40+F40,"si","no")</f>
        <v>#DIV/0!</v>
      </c>
      <c r="F47" s="277"/>
      <c r="G47" s="277"/>
      <c r="H47" s="274" t="e">
        <f>IF(G39=G40+H40+I40,"si","no")</f>
        <v>#DIV/0!</v>
      </c>
      <c r="I47" s="277"/>
      <c r="J47" s="277"/>
      <c r="K47" s="274" t="e">
        <f>IF(J39=J40+K40+L40,"si","no")</f>
        <v>#DIV/0!</v>
      </c>
    </row>
    <row r="48" spans="1:18" hidden="1" x14ac:dyDescent="0.2">
      <c r="E48" s="278" t="e">
        <f>IF(D37+D39=$C$33,"si","no")</f>
        <v>#DIV/0!</v>
      </c>
      <c r="F48" s="277"/>
      <c r="G48" s="277"/>
      <c r="H48" s="278" t="e">
        <f>IF(G37+G39=$C$33,"si","no")</f>
        <v>#DIV/0!</v>
      </c>
      <c r="I48" s="277"/>
      <c r="J48" s="277"/>
      <c r="K48" s="278" t="e">
        <f>IF(J37+J39=$C$33,"si","no")</f>
        <v>#DIV/0!</v>
      </c>
    </row>
    <row r="49" spans="5:11" hidden="1" x14ac:dyDescent="0.2">
      <c r="E49" s="277"/>
      <c r="F49" s="277"/>
      <c r="G49" s="277"/>
      <c r="H49" s="277"/>
      <c r="I49" s="277"/>
      <c r="J49" s="277"/>
      <c r="K49" s="277"/>
    </row>
    <row r="50" spans="5:11" hidden="1" x14ac:dyDescent="0.2"/>
  </sheetData>
  <sheetProtection algorithmName="SHA-512" hashValue="f9NLkTqI5zKUmldYdDSpgrx2JxwBNmNs5Pstdgm8qtT3BO1+YquhRbY1aXziGxqJGTfZAZmrB7H0hkWpyw9b5A==" saltValue="y1KqDjoVvWV8UkBG6r7j/A==" spinCount="100000" sheet="1" objects="1" scenarios="1" selectLockedCells="1"/>
  <mergeCells count="87">
    <mergeCell ref="M20:M21"/>
    <mergeCell ref="D22:F22"/>
    <mergeCell ref="G22:I22"/>
    <mergeCell ref="J22:L22"/>
    <mergeCell ref="A20:A22"/>
    <mergeCell ref="B20:B22"/>
    <mergeCell ref="C20:C21"/>
    <mergeCell ref="D20:F20"/>
    <mergeCell ref="G20:I20"/>
    <mergeCell ref="A23:A25"/>
    <mergeCell ref="B23:B25"/>
    <mergeCell ref="C23:C24"/>
    <mergeCell ref="D23:F23"/>
    <mergeCell ref="G23:I23"/>
    <mergeCell ref="D25:F25"/>
    <mergeCell ref="G25:I25"/>
    <mergeCell ref="B33:B35"/>
    <mergeCell ref="G33:I33"/>
    <mergeCell ref="C33:C34"/>
    <mergeCell ref="D33:F33"/>
    <mergeCell ref="J33:L33"/>
    <mergeCell ref="G35:I35"/>
    <mergeCell ref="A29:A31"/>
    <mergeCell ref="B29:B31"/>
    <mergeCell ref="C29:C30"/>
    <mergeCell ref="D29:F29"/>
    <mergeCell ref="G29:I29"/>
    <mergeCell ref="D28:F28"/>
    <mergeCell ref="G28:I28"/>
    <mergeCell ref="M33:M34"/>
    <mergeCell ref="D35:F35"/>
    <mergeCell ref="J35:L35"/>
    <mergeCell ref="J29:L29"/>
    <mergeCell ref="M29:M30"/>
    <mergeCell ref="M17:M18"/>
    <mergeCell ref="A17:A19"/>
    <mergeCell ref="B17:B19"/>
    <mergeCell ref="D19:F19"/>
    <mergeCell ref="J19:L19"/>
    <mergeCell ref="G17:I17"/>
    <mergeCell ref="G19:I19"/>
    <mergeCell ref="C17:C18"/>
    <mergeCell ref="D17:F17"/>
    <mergeCell ref="A7:M7"/>
    <mergeCell ref="A12:C13"/>
    <mergeCell ref="D12:F12"/>
    <mergeCell ref="J12:L12"/>
    <mergeCell ref="C14:C15"/>
    <mergeCell ref="D14:F14"/>
    <mergeCell ref="G14:I14"/>
    <mergeCell ref="M12:M13"/>
    <mergeCell ref="G12:I12"/>
    <mergeCell ref="A9:M10"/>
    <mergeCell ref="A14:A16"/>
    <mergeCell ref="B14:B16"/>
    <mergeCell ref="J20:L20"/>
    <mergeCell ref="A44:C44"/>
    <mergeCell ref="D37:F37"/>
    <mergeCell ref="J37:L37"/>
    <mergeCell ref="D39:F39"/>
    <mergeCell ref="J39:L39"/>
    <mergeCell ref="A42:M42"/>
    <mergeCell ref="A43:C43"/>
    <mergeCell ref="G43:M43"/>
    <mergeCell ref="G37:I37"/>
    <mergeCell ref="G39:I39"/>
    <mergeCell ref="A26:A28"/>
    <mergeCell ref="B26:B28"/>
    <mergeCell ref="C26:C27"/>
    <mergeCell ref="D26:F26"/>
    <mergeCell ref="G26:I26"/>
    <mergeCell ref="A1:M5"/>
    <mergeCell ref="D31:F31"/>
    <mergeCell ref="G31:I31"/>
    <mergeCell ref="J31:L31"/>
    <mergeCell ref="J14:L14"/>
    <mergeCell ref="M14:M15"/>
    <mergeCell ref="D16:F16"/>
    <mergeCell ref="G16:I16"/>
    <mergeCell ref="J16:L16"/>
    <mergeCell ref="J17:L17"/>
    <mergeCell ref="J26:L26"/>
    <mergeCell ref="M26:M27"/>
    <mergeCell ref="J28:L28"/>
    <mergeCell ref="J23:L23"/>
    <mergeCell ref="M23:M24"/>
    <mergeCell ref="J25:L25"/>
  </mergeCells>
  <printOptions horizontalCentered="1"/>
  <pageMargins left="0.51181102362204722" right="0.51181102362204722" top="0.78740157480314965" bottom="0.39370078740157483" header="0.51181102362204722" footer="0.31496062992125984"/>
  <pageSetup paperSize="9" scale="57" orientation="landscape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Plan10"/>
  <dimension ref="A1:V336"/>
  <sheetViews>
    <sheetView view="pageBreakPreview" zoomScale="80" zoomScaleNormal="75" zoomScaleSheetLayoutView="80" workbookViewId="0">
      <selection activeCell="C41" sqref="C41"/>
    </sheetView>
  </sheetViews>
  <sheetFormatPr defaultRowHeight="12.75" x14ac:dyDescent="0.2"/>
  <cols>
    <col min="1" max="1" width="11.42578125" style="382" bestFit="1" customWidth="1"/>
    <col min="2" max="2" width="139.7109375" style="276" customWidth="1"/>
    <col min="3" max="3" width="12.28515625" style="276" customWidth="1"/>
    <col min="4" max="4" width="9.7109375" style="276" customWidth="1"/>
    <col min="5" max="5" width="21.7109375" style="287" customWidth="1"/>
    <col min="6" max="6" width="14.28515625" style="243" customWidth="1"/>
    <col min="7" max="7" width="13.85546875" style="243" hidden="1" customWidth="1"/>
    <col min="8" max="8" width="11.42578125" style="244" hidden="1" customWidth="1"/>
    <col min="9" max="9" width="13" style="274" hidden="1" customWidth="1"/>
    <col min="10" max="10" width="9.140625" style="274" hidden="1" customWidth="1"/>
    <col min="11" max="11" width="11.85546875" style="274" hidden="1" customWidth="1"/>
    <col min="12" max="12" width="11.7109375" style="244" hidden="1" customWidth="1"/>
    <col min="13" max="13" width="12.42578125" style="280" hidden="1" customWidth="1"/>
    <col min="14" max="14" width="5.140625" style="280" hidden="1" customWidth="1"/>
    <col min="15" max="15" width="6.5703125" style="281" hidden="1" customWidth="1"/>
    <col min="16" max="16" width="5.5703125" style="281" hidden="1" customWidth="1"/>
    <col min="17" max="17" width="14.5703125" style="276" hidden="1" customWidth="1"/>
    <col min="18" max="18" width="18.5703125" style="276" hidden="1" customWidth="1"/>
    <col min="19" max="19" width="11.28515625" style="291" hidden="1" customWidth="1"/>
    <col min="20" max="21" width="9.28515625" style="276" hidden="1" customWidth="1"/>
    <col min="22" max="22" width="4.140625" style="276" hidden="1" customWidth="1"/>
    <col min="23" max="16384" width="9.140625" style="276"/>
  </cols>
  <sheetData>
    <row r="1" spans="1:22" ht="9.9499999999999993" customHeight="1" x14ac:dyDescent="0.2">
      <c r="A1" s="618" t="str">
        <f>'3.A'!A1:J4</f>
        <v>TIMBRE LICITANTE</v>
      </c>
      <c r="B1" s="619"/>
      <c r="C1" s="619"/>
      <c r="D1" s="619"/>
      <c r="E1" s="619"/>
      <c r="F1" s="620"/>
      <c r="G1" s="279"/>
      <c r="J1" s="276"/>
      <c r="K1" s="276"/>
      <c r="L1" s="276"/>
      <c r="Q1" s="243"/>
      <c r="R1" s="243"/>
      <c r="S1" s="276"/>
    </row>
    <row r="2" spans="1:22" ht="11.1" customHeight="1" x14ac:dyDescent="0.2">
      <c r="A2" s="621"/>
      <c r="B2" s="622"/>
      <c r="C2" s="622"/>
      <c r="D2" s="622"/>
      <c r="E2" s="622"/>
      <c r="F2" s="623"/>
      <c r="G2" s="282"/>
      <c r="J2" s="276"/>
      <c r="K2" s="276"/>
      <c r="L2" s="276"/>
      <c r="Q2" s="243"/>
      <c r="R2" s="243"/>
      <c r="S2" s="276"/>
    </row>
    <row r="3" spans="1:22" x14ac:dyDescent="0.2">
      <c r="A3" s="621"/>
      <c r="B3" s="622"/>
      <c r="C3" s="622"/>
      <c r="D3" s="622"/>
      <c r="E3" s="622"/>
      <c r="F3" s="623"/>
      <c r="G3" s="279"/>
      <c r="J3" s="276"/>
      <c r="K3" s="276"/>
      <c r="L3" s="276"/>
      <c r="Q3" s="243"/>
      <c r="R3" s="243"/>
      <c r="S3" s="276"/>
    </row>
    <row r="4" spans="1:22" ht="6" customHeight="1" x14ac:dyDescent="0.2">
      <c r="A4" s="621"/>
      <c r="B4" s="622"/>
      <c r="C4" s="622"/>
      <c r="D4" s="622"/>
      <c r="E4" s="622"/>
      <c r="F4" s="623"/>
      <c r="G4" s="282"/>
      <c r="J4" s="276"/>
      <c r="K4" s="276"/>
      <c r="L4" s="276"/>
      <c r="Q4" s="243"/>
      <c r="R4" s="243"/>
      <c r="S4" s="276"/>
    </row>
    <row r="5" spans="1:22" ht="12" customHeight="1" x14ac:dyDescent="0.2">
      <c r="A5" s="621"/>
      <c r="B5" s="622"/>
      <c r="C5" s="622"/>
      <c r="D5" s="622"/>
      <c r="E5" s="622"/>
      <c r="F5" s="623"/>
      <c r="G5" s="283"/>
      <c r="J5" s="276"/>
      <c r="K5" s="276"/>
      <c r="L5" s="276"/>
      <c r="Q5" s="243"/>
      <c r="R5" s="243"/>
      <c r="S5" s="276"/>
    </row>
    <row r="6" spans="1:22" ht="6" customHeight="1" x14ac:dyDescent="0.2">
      <c r="A6" s="284"/>
      <c r="B6" s="285"/>
      <c r="C6" s="286"/>
      <c r="D6" s="274"/>
      <c r="F6" s="288"/>
      <c r="G6" s="289"/>
      <c r="J6" s="276"/>
      <c r="K6" s="276"/>
      <c r="L6" s="276"/>
      <c r="Q6" s="243"/>
      <c r="R6" s="243"/>
      <c r="S6" s="276"/>
    </row>
    <row r="7" spans="1:22" ht="33.75" customHeight="1" thickBot="1" x14ac:dyDescent="0.25">
      <c r="A7" s="608" t="str">
        <f>'3.A'!$A$9</f>
        <v xml:space="preserve">OBJETO: FORNECIMENTO E INSTALAÇÃO DE GUARDA-CORPOS, ESCADAS MARINHEIROS E GRADES-PISO, EM FIBRA DE VIDRO, NAS ÁREAS DE PROCESSO DA ESTAÇÃO DE TRATAMENTO DE ÁGUA. </v>
      </c>
      <c r="B7" s="609"/>
      <c r="C7" s="609"/>
      <c r="D7" s="609"/>
      <c r="E7" s="609"/>
      <c r="F7" s="610"/>
      <c r="G7" s="290"/>
      <c r="Q7" s="243"/>
      <c r="R7" s="243"/>
    </row>
    <row r="8" spans="1:22" ht="15" customHeight="1" x14ac:dyDescent="0.2">
      <c r="A8" s="613" t="str">
        <f>'3.A'!$B$10</f>
        <v>LEIS SOCIAIS HORISTA - JORNADA NORMAL</v>
      </c>
      <c r="B8" s="614"/>
      <c r="C8" s="27">
        <f>'8.A'!$C$49</f>
        <v>0</v>
      </c>
      <c r="D8" s="604" t="s">
        <v>51</v>
      </c>
      <c r="E8" s="605"/>
      <c r="F8" s="611">
        <f>'3.A'!J10</f>
        <v>45488</v>
      </c>
      <c r="G8" s="292"/>
      <c r="Q8" s="243"/>
      <c r="R8" s="243"/>
    </row>
    <row r="9" spans="1:22" ht="15" customHeight="1" thickBot="1" x14ac:dyDescent="0.25">
      <c r="A9" s="615" t="str">
        <f>'3.A'!$B$11</f>
        <v>BDI - M.O / SERV. / MAT. COMUNS</v>
      </c>
      <c r="B9" s="616"/>
      <c r="C9" s="98">
        <f>'7.A'!$E$31</f>
        <v>0</v>
      </c>
      <c r="D9" s="606"/>
      <c r="E9" s="607"/>
      <c r="F9" s="612"/>
      <c r="G9" s="293"/>
      <c r="Q9" s="243"/>
      <c r="R9" s="243"/>
    </row>
    <row r="10" spans="1:22" ht="15" customHeight="1" thickBot="1" x14ac:dyDescent="0.25">
      <c r="A10" s="599" t="s">
        <v>157</v>
      </c>
      <c r="B10" s="600"/>
      <c r="C10" s="600"/>
      <c r="D10" s="600"/>
      <c r="E10" s="600"/>
      <c r="F10" s="601"/>
      <c r="G10" s="1"/>
      <c r="Q10" s="243"/>
      <c r="R10" s="243"/>
    </row>
    <row r="11" spans="1:22" s="305" customFormat="1" ht="9.9499999999999993" customHeight="1" thickBot="1" x14ac:dyDescent="0.25">
      <c r="A11" s="294"/>
      <c r="B11" s="295"/>
      <c r="C11" s="296"/>
      <c r="D11" s="297"/>
      <c r="E11" s="298"/>
      <c r="F11" s="299"/>
      <c r="G11" s="299"/>
      <c r="H11" s="300"/>
      <c r="I11" s="297"/>
      <c r="J11" s="297"/>
      <c r="K11" s="297"/>
      <c r="L11" s="300"/>
      <c r="M11" s="301"/>
      <c r="N11" s="301"/>
      <c r="O11" s="302"/>
      <c r="P11" s="302"/>
      <c r="Q11" s="303"/>
      <c r="R11" s="303"/>
      <c r="S11" s="304"/>
    </row>
    <row r="12" spans="1:22" s="305" customFormat="1" ht="50.1" customHeight="1" x14ac:dyDescent="0.2">
      <c r="A12" s="306" t="str">
        <f>'3.A'!A19</f>
        <v>1.1</v>
      </c>
      <c r="B12" s="307" t="str">
        <f>'3.A'!B19</f>
        <v>OPERAÇÃO DO CANTEIRO DE OBRAS</v>
      </c>
      <c r="C12" s="617" t="s">
        <v>58</v>
      </c>
      <c r="D12" s="617"/>
      <c r="E12" s="308" t="str">
        <f>'3.A'!C19</f>
        <v>GB</v>
      </c>
      <c r="F12" s="2">
        <f>ROUND(F26+F39+F62,2)</f>
        <v>0</v>
      </c>
      <c r="G12" s="309">
        <f>VLOOKUP(A12,'3.A'!$A$1:$I$195,4,FALSE)</f>
        <v>1</v>
      </c>
      <c r="H12" s="310">
        <f>SUM(F14:F25)</f>
        <v>0</v>
      </c>
      <c r="I12" s="310">
        <f>SUM(F28:F38)</f>
        <v>0</v>
      </c>
      <c r="J12" s="310">
        <f>SUM(F41:F61)</f>
        <v>0</v>
      </c>
      <c r="K12" s="310">
        <f>SUM(H12:J12)</f>
        <v>0</v>
      </c>
      <c r="L12" s="310" t="str">
        <f>IF(K12=F12,"SIM","NÃO")</f>
        <v>SIM</v>
      </c>
      <c r="M12" s="311">
        <f>ROUND(SUM(F14:F23)*C24,2)+ROUND(SUM(F14:F24)*C25,2)+ROUND(SUM(F14:F23),2)+ROUND(SUM(F28:F37)*C38,2)+ROUND(SUM(F28:F37),2)+ROUND(SUM(F41:F60)*C61,2)+ROUND(SUM(F41:F60),2)</f>
        <v>0</v>
      </c>
      <c r="N12" s="280" t="str">
        <f>IF(M12=F12,"SIM","NÃO")</f>
        <v>SIM</v>
      </c>
      <c r="O12" s="281" t="str">
        <f>VLOOKUP(A12,'3.A'!$A$9:$E$195,3,FALSE)</f>
        <v>GB</v>
      </c>
      <c r="P12" s="281" t="str">
        <f>IF(O12=E12,"SIM","NÃO")</f>
        <v>SIM</v>
      </c>
      <c r="Q12" s="312">
        <f>ROUND(G12*F26,2)+ROUND(G12*F39,2)+ROUND(G12*F62,2)</f>
        <v>0</v>
      </c>
      <c r="R12" s="313">
        <f>VLOOKUP(A12,'3.A'!$A$18:$L$195,9,FALSE)</f>
        <v>0</v>
      </c>
      <c r="S12" s="314" t="str">
        <f>IF(Q12=R12,"si","no")</f>
        <v>si</v>
      </c>
      <c r="T12" s="315">
        <f>SUM(L14:L23)+SUM(L28:L37)+SUM(L41:L60)</f>
        <v>663</v>
      </c>
      <c r="U12" s="244">
        <f>G12*C20+G12*C22+G12*C16+G12*C15+G12*C17+G12*C21+G12*C19+G12*C18+G12*C14+G12*C23+G12*C34+G12*C28+G12*C36+G12*C35+G12*C33+G12*C30+G12*C29+G12*C31+G12*C37+G12*C32+G12*C41+G12*C42+G12*C43+G12*C51+G12*C52+G12*C53+G12*C54+G12*C55+G12*C56+G12*C57+G12*C58+G12*C59+G12*C60+G12*C49+G12*C50+G12*C44+G12*C45+G12*C46+G12*C47+G12*C48</f>
        <v>663</v>
      </c>
      <c r="V12" s="316" t="str">
        <f>IF(T12=U12,"si","no")</f>
        <v>si</v>
      </c>
    </row>
    <row r="13" spans="1:22" s="305" customFormat="1" ht="12.75" customHeight="1" x14ac:dyDescent="0.2">
      <c r="A13" s="317" t="s">
        <v>2</v>
      </c>
      <c r="B13" s="318" t="s">
        <v>54</v>
      </c>
      <c r="C13" s="319" t="s">
        <v>55</v>
      </c>
      <c r="D13" s="319" t="s">
        <v>19</v>
      </c>
      <c r="E13" s="320" t="s">
        <v>56</v>
      </c>
      <c r="F13" s="321" t="s">
        <v>57</v>
      </c>
      <c r="G13" s="322"/>
      <c r="H13" s="244"/>
      <c r="I13" s="274"/>
      <c r="J13" s="274"/>
      <c r="K13" s="274"/>
      <c r="L13" s="244"/>
      <c r="M13" s="274"/>
      <c r="N13" s="274"/>
      <c r="O13" s="273"/>
      <c r="P13" s="273"/>
      <c r="Q13" s="243"/>
      <c r="R13" s="243"/>
      <c r="S13" s="291"/>
      <c r="T13" s="276"/>
      <c r="U13" s="276"/>
      <c r="V13" s="276"/>
    </row>
    <row r="14" spans="1:22" s="304" customFormat="1" ht="12.75" customHeight="1" x14ac:dyDescent="0.2">
      <c r="A14" s="323">
        <f>'6.A'!A12</f>
        <v>90776</v>
      </c>
      <c r="B14" s="324" t="str">
        <f>'6.A'!B12</f>
        <v>ENCARREGADO GERAL COM ENCARGOS COMPLEMENTARES</v>
      </c>
      <c r="C14" s="37">
        <f>220*3</f>
        <v>660</v>
      </c>
      <c r="D14" s="325" t="str">
        <f>'6.A'!D12</f>
        <v>H</v>
      </c>
      <c r="E14" s="326">
        <f>'6.A'!E12</f>
        <v>0</v>
      </c>
      <c r="F14" s="327">
        <f t="shared" ref="F14:F23" si="0">ROUND(C14*E14,2)</f>
        <v>0</v>
      </c>
      <c r="G14" s="244"/>
      <c r="H14" s="244">
        <f>IF(A14="","",VLOOKUP(A14,'6.A'!$A$11:$E$8163,5,FALSE))</f>
        <v>0</v>
      </c>
      <c r="I14" s="244" t="str">
        <f>IF(H14="","",IF(E14=H14,"SIM","NÃO"))</f>
        <v>SIM</v>
      </c>
      <c r="J14" s="244" t="str">
        <f>IF(H14="","",VLOOKUP(A14,'6.A'!$A$11:$E$743,4,FALSE))</f>
        <v>H</v>
      </c>
      <c r="K14" s="244" t="str">
        <f>IF(H14="","",IF(J14=D14,"SIM","NÃO"))</f>
        <v>SIM</v>
      </c>
      <c r="L14" s="244">
        <f>IF(H14="","",IF(C14="","",G12*C14))</f>
        <v>660</v>
      </c>
      <c r="M14" s="328" t="str">
        <f>IF(A14="","",VLOOKUP(A14,'6.A'!$A$11:$C$743,2,FALSE))</f>
        <v>ENCARREGADO GERAL COM ENCARGOS COMPLEMENTARES</v>
      </c>
      <c r="N14" s="274" t="str">
        <f>IF(A14="","",IF(M14=B14,"si","no"))</f>
        <v>si</v>
      </c>
      <c r="O14" s="273"/>
      <c r="P14" s="273"/>
      <c r="Q14" s="243"/>
      <c r="R14" s="243"/>
      <c r="S14" s="291"/>
      <c r="T14" s="276"/>
      <c r="U14" s="276"/>
      <c r="V14" s="276"/>
    </row>
    <row r="15" spans="1:22" s="304" customFormat="1" ht="12.75" customHeight="1" x14ac:dyDescent="0.2">
      <c r="A15" s="323"/>
      <c r="B15" s="324"/>
      <c r="C15" s="37"/>
      <c r="D15" s="325"/>
      <c r="E15" s="326"/>
      <c r="F15" s="327">
        <f t="shared" si="0"/>
        <v>0</v>
      </c>
      <c r="G15" s="244"/>
      <c r="H15" s="244" t="str">
        <f>IF(A15="","",VLOOKUP(A15,'6.A'!$A$11:$E$8163,5,FALSE))</f>
        <v/>
      </c>
      <c r="I15" s="244" t="str">
        <f t="shared" ref="I15:I23" si="1">IF(H15="","",IF(E15=H15,"SIM","NÃO"))</f>
        <v/>
      </c>
      <c r="J15" s="244" t="str">
        <f>IF(H15="","",VLOOKUP(A15,'6.A'!$A$11:$E$743,4,FALSE))</f>
        <v/>
      </c>
      <c r="K15" s="244" t="str">
        <f t="shared" ref="K15:K23" si="2">IF(H15="","",IF(J15=D15,"SIM","NÃO"))</f>
        <v/>
      </c>
      <c r="L15" s="244" t="str">
        <f>IF(H15="","",IF(C15="","",G12*C15))</f>
        <v/>
      </c>
      <c r="M15" s="328" t="str">
        <f>IF(A15="","",VLOOKUP(A15,'6.A'!$A$11:$C$743,2,FALSE))</f>
        <v/>
      </c>
      <c r="N15" s="274" t="str">
        <f t="shared" ref="N15:N23" si="3">IF(A15="","",IF(M15=B15,"si","no"))</f>
        <v/>
      </c>
      <c r="O15" s="273"/>
      <c r="P15" s="273"/>
      <c r="Q15" s="243"/>
      <c r="R15" s="243"/>
      <c r="S15" s="291"/>
      <c r="T15" s="276"/>
      <c r="U15" s="276"/>
      <c r="V15" s="276"/>
    </row>
    <row r="16" spans="1:22" s="304" customFormat="1" ht="12.75" customHeight="1" x14ac:dyDescent="0.2">
      <c r="A16" s="323"/>
      <c r="B16" s="324"/>
      <c r="C16" s="37"/>
      <c r="D16" s="325"/>
      <c r="E16" s="326"/>
      <c r="F16" s="327">
        <f t="shared" si="0"/>
        <v>0</v>
      </c>
      <c r="G16" s="244"/>
      <c r="H16" s="244" t="str">
        <f>IF(A16="","",VLOOKUP(A16,'6.A'!$A$11:$E$8163,5,FALSE))</f>
        <v/>
      </c>
      <c r="I16" s="244" t="str">
        <f t="shared" si="1"/>
        <v/>
      </c>
      <c r="J16" s="244" t="str">
        <f>IF(H16="","",VLOOKUP(A16,'6.A'!$A$11:$E$743,4,FALSE))</f>
        <v/>
      </c>
      <c r="K16" s="244" t="str">
        <f t="shared" si="2"/>
        <v/>
      </c>
      <c r="L16" s="244" t="str">
        <f>IF(H16="","",IF(C16="","",G12*C16))</f>
        <v/>
      </c>
      <c r="M16" s="328" t="str">
        <f>IF(A16="","",VLOOKUP(A16,'6.A'!$A$11:$C$743,2,FALSE))</f>
        <v/>
      </c>
      <c r="N16" s="274" t="str">
        <f t="shared" si="3"/>
        <v/>
      </c>
      <c r="O16" s="273"/>
      <c r="P16" s="273"/>
      <c r="Q16" s="243"/>
      <c r="R16" s="243"/>
      <c r="S16" s="291"/>
      <c r="T16" s="276"/>
      <c r="U16" s="276"/>
      <c r="V16" s="276"/>
    </row>
    <row r="17" spans="1:22" s="304" customFormat="1" ht="12.75" customHeight="1" x14ac:dyDescent="0.2">
      <c r="A17" s="323"/>
      <c r="B17" s="324"/>
      <c r="C17" s="37"/>
      <c r="D17" s="325"/>
      <c r="E17" s="326"/>
      <c r="F17" s="327">
        <f t="shared" si="0"/>
        <v>0</v>
      </c>
      <c r="G17" s="244"/>
      <c r="H17" s="244" t="str">
        <f>IF(A17="","",VLOOKUP(A17,'6.A'!$A$11:$E$8163,5,FALSE))</f>
        <v/>
      </c>
      <c r="I17" s="244" t="str">
        <f t="shared" si="1"/>
        <v/>
      </c>
      <c r="J17" s="244" t="str">
        <f>IF(H17="","",VLOOKUP(A17,'6.A'!$A$11:$E$743,4,FALSE))</f>
        <v/>
      </c>
      <c r="K17" s="244" t="str">
        <f t="shared" si="2"/>
        <v/>
      </c>
      <c r="L17" s="244" t="str">
        <f>IF(H17="","",IF(C17="","",G12*C17))</f>
        <v/>
      </c>
      <c r="M17" s="328" t="str">
        <f>IF(A17="","",VLOOKUP(A17,'6.A'!$A$11:$C$743,2,FALSE))</f>
        <v/>
      </c>
      <c r="N17" s="274" t="str">
        <f t="shared" si="3"/>
        <v/>
      </c>
      <c r="O17" s="273"/>
      <c r="P17" s="273"/>
      <c r="Q17" s="243"/>
      <c r="R17" s="243"/>
      <c r="S17" s="291"/>
      <c r="T17" s="276"/>
      <c r="U17" s="276"/>
      <c r="V17" s="276"/>
    </row>
    <row r="18" spans="1:22" s="304" customFormat="1" ht="12.75" customHeight="1" x14ac:dyDescent="0.2">
      <c r="A18" s="323"/>
      <c r="B18" s="324"/>
      <c r="C18" s="37"/>
      <c r="D18" s="325"/>
      <c r="E18" s="326"/>
      <c r="F18" s="327">
        <f t="shared" si="0"/>
        <v>0</v>
      </c>
      <c r="G18" s="244"/>
      <c r="H18" s="244" t="str">
        <f>IF(A18="","",VLOOKUP(A18,'6.A'!$A$11:$E$8163,5,FALSE))</f>
        <v/>
      </c>
      <c r="I18" s="244" t="str">
        <f t="shared" si="1"/>
        <v/>
      </c>
      <c r="J18" s="244" t="str">
        <f>IF(H18="","",VLOOKUP(A18,'6.A'!$A$11:$E$743,4,FALSE))</f>
        <v/>
      </c>
      <c r="K18" s="244" t="str">
        <f t="shared" si="2"/>
        <v/>
      </c>
      <c r="L18" s="244" t="str">
        <f>IF(H18="","",IF(C18="","",G12*C18))</f>
        <v/>
      </c>
      <c r="M18" s="328" t="str">
        <f>IF(A18="","",VLOOKUP(A18,'6.A'!$A$11:$C$743,2,FALSE))</f>
        <v/>
      </c>
      <c r="N18" s="274" t="str">
        <f t="shared" si="3"/>
        <v/>
      </c>
      <c r="O18" s="273"/>
      <c r="P18" s="273"/>
      <c r="Q18" s="243"/>
      <c r="R18" s="243"/>
      <c r="S18" s="291"/>
      <c r="T18" s="276"/>
      <c r="U18" s="276"/>
      <c r="V18" s="276"/>
    </row>
    <row r="19" spans="1:22" s="304" customFormat="1" ht="12.75" customHeight="1" x14ac:dyDescent="0.2">
      <c r="A19" s="323"/>
      <c r="B19" s="324"/>
      <c r="C19" s="37"/>
      <c r="D19" s="325"/>
      <c r="E19" s="326"/>
      <c r="F19" s="327">
        <f t="shared" si="0"/>
        <v>0</v>
      </c>
      <c r="G19" s="244"/>
      <c r="H19" s="244" t="str">
        <f>IF(A19="","",VLOOKUP(A19,'6.A'!$A$11:$E$8163,5,FALSE))</f>
        <v/>
      </c>
      <c r="I19" s="244" t="str">
        <f t="shared" si="1"/>
        <v/>
      </c>
      <c r="J19" s="244" t="str">
        <f>IF(H19="","",VLOOKUP(A19,'6.A'!$A$11:$E$743,4,FALSE))</f>
        <v/>
      </c>
      <c r="K19" s="244" t="str">
        <f t="shared" si="2"/>
        <v/>
      </c>
      <c r="L19" s="244" t="str">
        <f>IF(H19="","",IF(C19="","",G12*C19))</f>
        <v/>
      </c>
      <c r="M19" s="328" t="str">
        <f>IF(A19="","",VLOOKUP(A19,'6.A'!$A$11:$C$743,2,FALSE))</f>
        <v/>
      </c>
      <c r="N19" s="274" t="str">
        <f t="shared" si="3"/>
        <v/>
      </c>
      <c r="O19" s="273"/>
      <c r="P19" s="273"/>
      <c r="Q19" s="243"/>
      <c r="R19" s="243"/>
      <c r="S19" s="291"/>
      <c r="T19" s="276"/>
      <c r="U19" s="276"/>
      <c r="V19" s="276"/>
    </row>
    <row r="20" spans="1:22" s="304" customFormat="1" ht="12.75" customHeight="1" x14ac:dyDescent="0.2">
      <c r="A20" s="323"/>
      <c r="B20" s="324"/>
      <c r="C20" s="37"/>
      <c r="D20" s="297"/>
      <c r="E20" s="329"/>
      <c r="F20" s="327">
        <f t="shared" si="0"/>
        <v>0</v>
      </c>
      <c r="G20" s="244"/>
      <c r="H20" s="244" t="str">
        <f>IF(A20="","",VLOOKUP(A20,'6.A'!$A$11:$E$8163,5,FALSE))</f>
        <v/>
      </c>
      <c r="I20" s="244" t="str">
        <f t="shared" si="1"/>
        <v/>
      </c>
      <c r="J20" s="244" t="str">
        <f>IF(H20="","",VLOOKUP(A20,'6.A'!$A$11:$E$743,4,FALSE))</f>
        <v/>
      </c>
      <c r="K20" s="244" t="str">
        <f t="shared" si="2"/>
        <v/>
      </c>
      <c r="L20" s="244" t="str">
        <f>IF(H20="","",IF(C20="","",G12*C20))</f>
        <v/>
      </c>
      <c r="M20" s="328" t="str">
        <f>IF(A20="","",VLOOKUP(A20,'6.A'!$A$11:$C$743,2,FALSE))</f>
        <v/>
      </c>
      <c r="N20" s="274" t="str">
        <f t="shared" si="3"/>
        <v/>
      </c>
      <c r="O20" s="273"/>
      <c r="P20" s="273"/>
      <c r="Q20" s="243"/>
      <c r="R20" s="243"/>
      <c r="S20" s="291"/>
      <c r="T20" s="276"/>
      <c r="U20" s="276"/>
      <c r="V20" s="276"/>
    </row>
    <row r="21" spans="1:22" s="304" customFormat="1" ht="12.75" customHeight="1" x14ac:dyDescent="0.2">
      <c r="A21" s="323"/>
      <c r="B21" s="324"/>
      <c r="C21" s="37"/>
      <c r="D21" s="297"/>
      <c r="E21" s="326"/>
      <c r="F21" s="327">
        <f t="shared" si="0"/>
        <v>0</v>
      </c>
      <c r="G21" s="244"/>
      <c r="H21" s="244" t="str">
        <f>IF(A21="","",VLOOKUP(A21,'6.A'!$A$11:$E$8163,5,FALSE))</f>
        <v/>
      </c>
      <c r="I21" s="244" t="str">
        <f t="shared" si="1"/>
        <v/>
      </c>
      <c r="J21" s="244" t="str">
        <f>IF(H21="","",VLOOKUP(A21,'6.A'!$A$11:$E$743,4,FALSE))</f>
        <v/>
      </c>
      <c r="K21" s="244" t="str">
        <f t="shared" si="2"/>
        <v/>
      </c>
      <c r="L21" s="244" t="str">
        <f>IF(H21="","",IF(C21="","",G12*C21))</f>
        <v/>
      </c>
      <c r="M21" s="328" t="str">
        <f>IF(A21="","",VLOOKUP(A21,'6.A'!$A$11:$C$743,2,FALSE))</f>
        <v/>
      </c>
      <c r="N21" s="274" t="str">
        <f t="shared" si="3"/>
        <v/>
      </c>
      <c r="O21" s="273"/>
      <c r="P21" s="273"/>
      <c r="Q21" s="243"/>
      <c r="R21" s="243"/>
      <c r="S21" s="291"/>
      <c r="T21" s="276"/>
      <c r="U21" s="276"/>
      <c r="V21" s="276"/>
    </row>
    <row r="22" spans="1:22" s="304" customFormat="1" ht="12.75" customHeight="1" x14ac:dyDescent="0.2">
      <c r="A22" s="323"/>
      <c r="B22" s="324"/>
      <c r="C22" s="37"/>
      <c r="D22" s="297"/>
      <c r="E22" s="326"/>
      <c r="F22" s="327">
        <f t="shared" si="0"/>
        <v>0</v>
      </c>
      <c r="G22" s="244"/>
      <c r="H22" s="244" t="str">
        <f>IF(A22="","",VLOOKUP(A22,'6.A'!$A$11:$E$8163,5,FALSE))</f>
        <v/>
      </c>
      <c r="I22" s="244" t="str">
        <f t="shared" si="1"/>
        <v/>
      </c>
      <c r="J22" s="244" t="str">
        <f>IF(H22="","",VLOOKUP(A22,'6.A'!$A$11:$E$743,4,FALSE))</f>
        <v/>
      </c>
      <c r="K22" s="244" t="str">
        <f t="shared" si="2"/>
        <v/>
      </c>
      <c r="L22" s="244" t="str">
        <f>IF(H22="","",IF(C22="","",G12*C22))</f>
        <v/>
      </c>
      <c r="M22" s="328" t="str">
        <f>IF(A22="","",VLOOKUP(A22,'6.A'!$A$11:$C$743,2,FALSE))</f>
        <v/>
      </c>
      <c r="N22" s="274" t="str">
        <f t="shared" si="3"/>
        <v/>
      </c>
      <c r="O22" s="273"/>
      <c r="P22" s="273"/>
      <c r="Q22" s="243"/>
      <c r="R22" s="243"/>
      <c r="S22" s="291"/>
      <c r="T22" s="276"/>
      <c r="U22" s="276"/>
      <c r="V22" s="276"/>
    </row>
    <row r="23" spans="1:22" s="304" customFormat="1" ht="12.75" customHeight="1" x14ac:dyDescent="0.2">
      <c r="A23" s="323"/>
      <c r="B23" s="324"/>
      <c r="C23" s="37"/>
      <c r="D23" s="330"/>
      <c r="E23" s="326"/>
      <c r="F23" s="327">
        <f t="shared" si="0"/>
        <v>0</v>
      </c>
      <c r="G23" s="244"/>
      <c r="H23" s="244" t="str">
        <f>IF(A23="","",VLOOKUP(A23,'6.A'!$A$11:$E$8163,5,FALSE))</f>
        <v/>
      </c>
      <c r="I23" s="244" t="str">
        <f t="shared" si="1"/>
        <v/>
      </c>
      <c r="J23" s="244" t="str">
        <f>IF(H23="","",VLOOKUP(A23,'6.A'!$A$11:$E$743,4,FALSE))</f>
        <v/>
      </c>
      <c r="K23" s="244" t="str">
        <f t="shared" si="2"/>
        <v/>
      </c>
      <c r="L23" s="244" t="str">
        <f>IF(H23="","",IF(C23="","",G12*C23))</f>
        <v/>
      </c>
      <c r="M23" s="328" t="str">
        <f>IF(A23="","",VLOOKUP(A23,'6.A'!$A$11:$C$743,2,FALSE))</f>
        <v/>
      </c>
      <c r="N23" s="274" t="str">
        <f t="shared" si="3"/>
        <v/>
      </c>
      <c r="O23" s="273"/>
      <c r="P23" s="273"/>
      <c r="Q23" s="243"/>
      <c r="R23" s="243"/>
      <c r="S23" s="291"/>
      <c r="T23" s="276"/>
      <c r="U23" s="276"/>
      <c r="V23" s="276"/>
    </row>
    <row r="24" spans="1:22" s="304" customFormat="1" ht="12.75" customHeight="1" x14ac:dyDescent="0.2">
      <c r="A24" s="317"/>
      <c r="B24" s="331" t="str">
        <f>$A$8</f>
        <v>LEIS SOCIAIS HORISTA - JORNADA NORMAL</v>
      </c>
      <c r="C24" s="3">
        <f>$C$8</f>
        <v>0</v>
      </c>
      <c r="D24" s="297"/>
      <c r="E24" s="298"/>
      <c r="F24" s="332">
        <f>ROUND(SUM(F14:F23)*C24,2)</f>
        <v>0</v>
      </c>
      <c r="G24" s="333"/>
      <c r="H24" s="244"/>
      <c r="I24" s="274"/>
      <c r="J24" s="274"/>
      <c r="K24" s="274"/>
      <c r="L24" s="244"/>
      <c r="M24" s="334"/>
      <c r="N24" s="274"/>
      <c r="O24" s="273"/>
      <c r="P24" s="273"/>
      <c r="Q24" s="243"/>
      <c r="R24" s="243"/>
      <c r="S24" s="291"/>
      <c r="T24" s="276"/>
      <c r="U24" s="276"/>
      <c r="V24" s="276"/>
    </row>
    <row r="25" spans="1:22" s="304" customFormat="1" ht="12.75" customHeight="1" x14ac:dyDescent="0.2">
      <c r="A25" s="323"/>
      <c r="B25" s="331" t="str">
        <f>$A$9</f>
        <v>BDI - M.O / SERV. / MAT. COMUNS</v>
      </c>
      <c r="C25" s="3">
        <f>$C$9</f>
        <v>0</v>
      </c>
      <c r="D25" s="335"/>
      <c r="E25" s="298"/>
      <c r="F25" s="332">
        <f>ROUND(SUM(F14:F24)*C25,2)</f>
        <v>0</v>
      </c>
      <c r="G25" s="333"/>
      <c r="H25" s="244"/>
      <c r="I25" s="274"/>
      <c r="J25" s="274"/>
      <c r="K25" s="274"/>
      <c r="L25" s="244"/>
      <c r="M25" s="334"/>
      <c r="N25" s="274"/>
      <c r="O25" s="273"/>
      <c r="P25" s="273"/>
      <c r="Q25" s="243"/>
      <c r="R25" s="243"/>
      <c r="S25" s="291"/>
      <c r="T25" s="276"/>
      <c r="U25" s="276"/>
      <c r="V25" s="276"/>
    </row>
    <row r="26" spans="1:22" s="304" customFormat="1" ht="12.75" customHeight="1" x14ac:dyDescent="0.2">
      <c r="A26" s="336"/>
      <c r="B26" s="337" t="s">
        <v>52</v>
      </c>
      <c r="C26" s="338"/>
      <c r="D26" s="339"/>
      <c r="E26" s="340"/>
      <c r="F26" s="341">
        <f>ROUND(SUM(F14:F25),2)</f>
        <v>0</v>
      </c>
      <c r="G26" s="333"/>
      <c r="H26" s="244"/>
      <c r="I26" s="274"/>
      <c r="J26" s="274"/>
      <c r="K26" s="274"/>
      <c r="L26" s="244"/>
      <c r="M26" s="334"/>
      <c r="N26" s="274"/>
      <c r="O26" s="273"/>
      <c r="P26" s="273"/>
      <c r="Q26" s="243"/>
      <c r="R26" s="243"/>
      <c r="S26" s="291"/>
      <c r="T26" s="276"/>
      <c r="U26" s="276"/>
      <c r="V26" s="276"/>
    </row>
    <row r="27" spans="1:22" s="304" customFormat="1" ht="12.75" customHeight="1" x14ac:dyDescent="0.2">
      <c r="A27" s="317" t="s">
        <v>4</v>
      </c>
      <c r="B27" s="318" t="s">
        <v>117</v>
      </c>
      <c r="C27" s="319" t="s">
        <v>55</v>
      </c>
      <c r="D27" s="319" t="s">
        <v>19</v>
      </c>
      <c r="E27" s="320" t="s">
        <v>56</v>
      </c>
      <c r="F27" s="321" t="s">
        <v>57</v>
      </c>
      <c r="G27" s="322"/>
      <c r="H27" s="244"/>
      <c r="I27" s="274"/>
      <c r="J27" s="274"/>
      <c r="K27" s="274"/>
      <c r="L27" s="244"/>
      <c r="M27" s="334"/>
      <c r="N27" s="274"/>
      <c r="O27" s="273"/>
      <c r="P27" s="273"/>
      <c r="Q27" s="243"/>
      <c r="R27" s="243"/>
      <c r="S27" s="291"/>
      <c r="T27" s="276"/>
      <c r="U27" s="276"/>
      <c r="V27" s="276"/>
    </row>
    <row r="28" spans="1:22" s="304" customFormat="1" ht="12.75" customHeight="1" x14ac:dyDescent="0.2">
      <c r="A28" s="323">
        <f>'6.A'!A20</f>
        <v>10775</v>
      </c>
      <c r="B28" s="324" t="str">
        <f>'6.A'!B20</f>
        <v>CONTAINER 2,30 X 6,00 M, ALT. 2,50 M, COM 1 SANITARIO, PARA ESCRITORIO, COMPLETO</v>
      </c>
      <c r="C28" s="37">
        <v>3</v>
      </c>
      <c r="D28" s="297" t="str">
        <f>'6.A'!D20</f>
        <v>MÊS</v>
      </c>
      <c r="E28" s="329">
        <f>'6.A'!E20</f>
        <v>0</v>
      </c>
      <c r="F28" s="327">
        <f t="shared" ref="F28:F37" si="4">ROUND(C28*E28,2)</f>
        <v>0</v>
      </c>
      <c r="G28" s="244"/>
      <c r="H28" s="244">
        <f>IF(A28="","",VLOOKUP(A28,'6.A'!$A$11:$E$8163,5,FALSE))</f>
        <v>0</v>
      </c>
      <c r="I28" s="244" t="str">
        <f t="shared" ref="I28:I37" si="5">IF(H28="","",IF(E28=H28,"SIM","NÃO"))</f>
        <v>SIM</v>
      </c>
      <c r="J28" s="244" t="str">
        <f>IF(H28="","",VLOOKUP(A28,'6.A'!$A$11:$E$743,4,FALSE))</f>
        <v>MÊS</v>
      </c>
      <c r="K28" s="244" t="str">
        <f t="shared" ref="K28:K37" si="6">IF(H28="","",IF(J28=D28,"SIM","NÃO"))</f>
        <v>SIM</v>
      </c>
      <c r="L28" s="244">
        <f>IF(H28="","",IF(C28="","",G12*C28))</f>
        <v>3</v>
      </c>
      <c r="M28" s="328" t="str">
        <f>IF(A28="","",VLOOKUP(A28,'6.A'!$A$11:$C$743,2,FALSE))</f>
        <v>CONTAINER 2,30 X 6,00 M, ALT. 2,50 M, COM 1 SANITARIO, PARA ESCRITORIO, COMPLETO</v>
      </c>
      <c r="N28" s="274" t="str">
        <f t="shared" ref="N28:N37" si="7">IF(A28="","",IF(M28=B28,"si","no"))</f>
        <v>si</v>
      </c>
      <c r="O28" s="273"/>
      <c r="P28" s="273"/>
      <c r="Q28" s="243"/>
      <c r="R28" s="243"/>
      <c r="S28" s="291"/>
      <c r="T28" s="276"/>
      <c r="U28" s="276"/>
      <c r="V28" s="276"/>
    </row>
    <row r="29" spans="1:22" s="304" customFormat="1" ht="12.75" customHeight="1" x14ac:dyDescent="0.2">
      <c r="A29" s="323"/>
      <c r="B29" s="324"/>
      <c r="C29" s="37"/>
      <c r="D29" s="297"/>
      <c r="E29" s="329"/>
      <c r="F29" s="327">
        <f t="shared" si="4"/>
        <v>0</v>
      </c>
      <c r="G29" s="244"/>
      <c r="H29" s="244" t="str">
        <f>IF(A29="","",VLOOKUP(A29,'6.A'!$A$11:$E$8163,5,FALSE))</f>
        <v/>
      </c>
      <c r="I29" s="244" t="str">
        <f t="shared" si="5"/>
        <v/>
      </c>
      <c r="J29" s="244" t="str">
        <f>IF(H29="","",VLOOKUP(A29,'6.A'!$A$11:$E$743,4,FALSE))</f>
        <v/>
      </c>
      <c r="K29" s="244" t="str">
        <f t="shared" si="6"/>
        <v/>
      </c>
      <c r="L29" s="244" t="str">
        <f>IF(H29="","",IF(C29="","",G12*C29))</f>
        <v/>
      </c>
      <c r="M29" s="328" t="str">
        <f>IF(A29="","",VLOOKUP(A29,'6.A'!$A$11:$C$743,2,FALSE))</f>
        <v/>
      </c>
      <c r="N29" s="274" t="str">
        <f t="shared" si="7"/>
        <v/>
      </c>
      <c r="O29" s="273"/>
      <c r="P29" s="273"/>
      <c r="Q29" s="243"/>
      <c r="R29" s="243"/>
      <c r="S29" s="291"/>
      <c r="T29" s="276"/>
      <c r="U29" s="276"/>
      <c r="V29" s="276"/>
    </row>
    <row r="30" spans="1:22" s="304" customFormat="1" ht="12.75" customHeight="1" x14ac:dyDescent="0.2">
      <c r="A30" s="323"/>
      <c r="B30" s="324"/>
      <c r="C30" s="37"/>
      <c r="D30" s="297"/>
      <c r="E30" s="329"/>
      <c r="F30" s="327">
        <f t="shared" si="4"/>
        <v>0</v>
      </c>
      <c r="G30" s="244"/>
      <c r="H30" s="244" t="str">
        <f>IF(A30="","",VLOOKUP(A30,'6.A'!$A$11:$E$8163,5,FALSE))</f>
        <v/>
      </c>
      <c r="I30" s="244" t="str">
        <f t="shared" si="5"/>
        <v/>
      </c>
      <c r="J30" s="244" t="str">
        <f>IF(H30="","",VLOOKUP(A30,'6.A'!$A$11:$E$743,4,FALSE))</f>
        <v/>
      </c>
      <c r="K30" s="244" t="str">
        <f t="shared" si="6"/>
        <v/>
      </c>
      <c r="L30" s="244" t="str">
        <f>IF(H30="","",IF(C30="","",G12*C30))</f>
        <v/>
      </c>
      <c r="M30" s="328" t="str">
        <f>IF(A30="","",VLOOKUP(A30,'6.A'!$A$11:$C$743,2,FALSE))</f>
        <v/>
      </c>
      <c r="N30" s="274" t="str">
        <f t="shared" si="7"/>
        <v/>
      </c>
      <c r="O30" s="273"/>
      <c r="P30" s="273"/>
      <c r="Q30" s="243"/>
      <c r="R30" s="243"/>
      <c r="S30" s="291"/>
      <c r="T30" s="276"/>
      <c r="U30" s="276"/>
      <c r="V30" s="276"/>
    </row>
    <row r="31" spans="1:22" s="304" customFormat="1" ht="12.75" customHeight="1" x14ac:dyDescent="0.2">
      <c r="A31" s="323"/>
      <c r="B31" s="324"/>
      <c r="C31" s="37"/>
      <c r="D31" s="297"/>
      <c r="E31" s="329"/>
      <c r="F31" s="327">
        <f t="shared" si="4"/>
        <v>0</v>
      </c>
      <c r="G31" s="244"/>
      <c r="H31" s="244" t="str">
        <f>IF(A31="","",VLOOKUP(A31,'6.A'!$A$11:$E$8163,5,FALSE))</f>
        <v/>
      </c>
      <c r="I31" s="244" t="str">
        <f t="shared" si="5"/>
        <v/>
      </c>
      <c r="J31" s="244" t="str">
        <f>IF(H31="","",VLOOKUP(A31,'6.A'!$A$11:$E$743,4,FALSE))</f>
        <v/>
      </c>
      <c r="K31" s="244" t="str">
        <f t="shared" si="6"/>
        <v/>
      </c>
      <c r="L31" s="244" t="str">
        <f>IF(H31="","",IF(C31="","",G12*C31))</f>
        <v/>
      </c>
      <c r="M31" s="328" t="str">
        <f>IF(A31="","",VLOOKUP(A31,'6.A'!$A$11:$C$743,2,FALSE))</f>
        <v/>
      </c>
      <c r="N31" s="274" t="str">
        <f t="shared" si="7"/>
        <v/>
      </c>
      <c r="O31" s="273"/>
      <c r="P31" s="273"/>
      <c r="Q31" s="243"/>
      <c r="R31" s="243"/>
      <c r="S31" s="291"/>
      <c r="T31" s="276"/>
      <c r="U31" s="276"/>
      <c r="V31" s="276"/>
    </row>
    <row r="32" spans="1:22" s="304" customFormat="1" ht="12.75" customHeight="1" x14ac:dyDescent="0.2">
      <c r="A32" s="323"/>
      <c r="B32" s="324"/>
      <c r="C32" s="37"/>
      <c r="D32" s="297"/>
      <c r="E32" s="329"/>
      <c r="F32" s="327">
        <f t="shared" si="4"/>
        <v>0</v>
      </c>
      <c r="G32" s="244"/>
      <c r="H32" s="244" t="str">
        <f>IF(A32="","",VLOOKUP(A32,'6.A'!$A$11:$E$8163,5,FALSE))</f>
        <v/>
      </c>
      <c r="I32" s="244" t="str">
        <f t="shared" si="5"/>
        <v/>
      </c>
      <c r="J32" s="244" t="str">
        <f>IF(H32="","",VLOOKUP(A32,'6.A'!$A$11:$E$743,4,FALSE))</f>
        <v/>
      </c>
      <c r="K32" s="244" t="str">
        <f t="shared" si="6"/>
        <v/>
      </c>
      <c r="L32" s="244" t="str">
        <f>IF(H32="","",IF(C32="","",G12*C32))</f>
        <v/>
      </c>
      <c r="M32" s="328" t="str">
        <f>IF(A32="","",VLOOKUP(A32,'6.A'!$A$11:$C$743,2,FALSE))</f>
        <v/>
      </c>
      <c r="N32" s="274" t="str">
        <f t="shared" si="7"/>
        <v/>
      </c>
      <c r="O32" s="273"/>
      <c r="P32" s="273"/>
      <c r="Q32" s="243"/>
      <c r="R32" s="243"/>
      <c r="S32" s="291"/>
      <c r="T32" s="276"/>
      <c r="U32" s="276"/>
      <c r="V32" s="276"/>
    </row>
    <row r="33" spans="1:22" s="304" customFormat="1" ht="12.75" customHeight="1" x14ac:dyDescent="0.2">
      <c r="A33" s="323"/>
      <c r="B33" s="324"/>
      <c r="C33" s="37"/>
      <c r="D33" s="297"/>
      <c r="E33" s="329"/>
      <c r="F33" s="327">
        <f t="shared" si="4"/>
        <v>0</v>
      </c>
      <c r="G33" s="244"/>
      <c r="H33" s="244" t="str">
        <f>IF(A33="","",VLOOKUP(A33,'6.A'!$A$11:$E$8163,5,FALSE))</f>
        <v/>
      </c>
      <c r="I33" s="244" t="str">
        <f t="shared" si="5"/>
        <v/>
      </c>
      <c r="J33" s="244" t="str">
        <f>IF(H33="","",VLOOKUP(A33,'6.A'!$A$11:$E$743,4,FALSE))</f>
        <v/>
      </c>
      <c r="K33" s="244" t="str">
        <f t="shared" si="6"/>
        <v/>
      </c>
      <c r="L33" s="244" t="str">
        <f>IF(H33="","",IF(C33="","",G12*C33))</f>
        <v/>
      </c>
      <c r="M33" s="328" t="str">
        <f>IF(A33="","",VLOOKUP(A33,'6.A'!$A$11:$C$743,2,FALSE))</f>
        <v/>
      </c>
      <c r="N33" s="274" t="str">
        <f t="shared" si="7"/>
        <v/>
      </c>
      <c r="O33" s="273"/>
      <c r="P33" s="273"/>
      <c r="Q33" s="243"/>
      <c r="R33" s="243"/>
      <c r="S33" s="291"/>
      <c r="T33" s="276"/>
      <c r="U33" s="276"/>
      <c r="V33" s="276"/>
    </row>
    <row r="34" spans="1:22" s="304" customFormat="1" ht="12.75" customHeight="1" x14ac:dyDescent="0.2">
      <c r="A34" s="323"/>
      <c r="B34" s="324"/>
      <c r="C34" s="37"/>
      <c r="D34" s="297"/>
      <c r="E34" s="329"/>
      <c r="F34" s="327">
        <f>ROUND(C34*E34,2)</f>
        <v>0</v>
      </c>
      <c r="G34" s="244"/>
      <c r="H34" s="244" t="str">
        <f>IF(A34="","",VLOOKUP(A34,'6.A'!$A$11:$E$8163,5,FALSE))</f>
        <v/>
      </c>
      <c r="I34" s="244" t="str">
        <f t="shared" si="5"/>
        <v/>
      </c>
      <c r="J34" s="244" t="str">
        <f>IF(H34="","",VLOOKUP(A34,'6.A'!$A$11:$E$743,4,FALSE))</f>
        <v/>
      </c>
      <c r="K34" s="244" t="str">
        <f t="shared" si="6"/>
        <v/>
      </c>
      <c r="L34" s="244" t="str">
        <f>IF(H34="","",IF(C34="","",G12*C34))</f>
        <v/>
      </c>
      <c r="M34" s="328" t="str">
        <f>IF(A34="","",VLOOKUP(A34,'6.A'!$A$11:$C$743,2,FALSE))</f>
        <v/>
      </c>
      <c r="N34" s="274" t="str">
        <f t="shared" si="7"/>
        <v/>
      </c>
      <c r="O34" s="273"/>
      <c r="P34" s="273"/>
      <c r="Q34" s="243"/>
      <c r="R34" s="243"/>
      <c r="S34" s="291"/>
      <c r="T34" s="276"/>
      <c r="U34" s="276"/>
      <c r="V34" s="276"/>
    </row>
    <row r="35" spans="1:22" s="304" customFormat="1" ht="12.75" customHeight="1" x14ac:dyDescent="0.2">
      <c r="A35" s="323"/>
      <c r="B35" s="324"/>
      <c r="C35" s="37"/>
      <c r="D35" s="297"/>
      <c r="E35" s="329"/>
      <c r="F35" s="327">
        <f>ROUND(C35*E35,2)</f>
        <v>0</v>
      </c>
      <c r="G35" s="244"/>
      <c r="H35" s="244" t="str">
        <f>IF(A35="","",VLOOKUP(A35,'6.A'!$A$11:$E$8163,5,FALSE))</f>
        <v/>
      </c>
      <c r="I35" s="244" t="str">
        <f t="shared" si="5"/>
        <v/>
      </c>
      <c r="J35" s="244" t="str">
        <f>IF(H35="","",VLOOKUP(A35,'6.A'!$A$11:$E$743,4,FALSE))</f>
        <v/>
      </c>
      <c r="K35" s="244" t="str">
        <f t="shared" si="6"/>
        <v/>
      </c>
      <c r="L35" s="244" t="str">
        <f>IF(H35="","",IF(C35="","",G12*C35))</f>
        <v/>
      </c>
      <c r="M35" s="328" t="str">
        <f>IF(A35="","",VLOOKUP(A35,'6.A'!$A$11:$C$743,2,FALSE))</f>
        <v/>
      </c>
      <c r="N35" s="274" t="str">
        <f t="shared" si="7"/>
        <v/>
      </c>
      <c r="O35" s="273"/>
      <c r="P35" s="273"/>
      <c r="Q35" s="243"/>
      <c r="R35" s="243"/>
      <c r="S35" s="291"/>
      <c r="T35" s="276"/>
      <c r="U35" s="276"/>
      <c r="V35" s="276"/>
    </row>
    <row r="36" spans="1:22" s="304" customFormat="1" ht="12.75" customHeight="1" x14ac:dyDescent="0.2">
      <c r="A36" s="342"/>
      <c r="B36" s="343"/>
      <c r="C36" s="23"/>
      <c r="D36" s="297"/>
      <c r="E36" s="344"/>
      <c r="F36" s="327">
        <f t="shared" si="4"/>
        <v>0</v>
      </c>
      <c r="G36" s="244"/>
      <c r="H36" s="244" t="str">
        <f>IF(A36="","",VLOOKUP(A36,'6.A'!$A$11:$E$8163,5,FALSE))</f>
        <v/>
      </c>
      <c r="I36" s="244" t="str">
        <f t="shared" si="5"/>
        <v/>
      </c>
      <c r="J36" s="244" t="str">
        <f>IF(H36="","",VLOOKUP(A36,'6.A'!$A$11:$E$743,4,FALSE))</f>
        <v/>
      </c>
      <c r="K36" s="244" t="str">
        <f t="shared" si="6"/>
        <v/>
      </c>
      <c r="L36" s="244" t="str">
        <f>IF(H36="","",IF(C36="","",G12*C36))</f>
        <v/>
      </c>
      <c r="M36" s="328" t="str">
        <f>IF(A36="","",VLOOKUP(A36,'6.A'!$A$11:$C$743,2,FALSE))</f>
        <v/>
      </c>
      <c r="N36" s="274" t="str">
        <f t="shared" si="7"/>
        <v/>
      </c>
      <c r="O36" s="273"/>
      <c r="P36" s="273"/>
      <c r="Q36" s="243"/>
      <c r="R36" s="243"/>
      <c r="S36" s="291"/>
      <c r="T36" s="276"/>
      <c r="U36" s="276"/>
      <c r="V36" s="276"/>
    </row>
    <row r="37" spans="1:22" s="304" customFormat="1" ht="12.75" customHeight="1" x14ac:dyDescent="0.2">
      <c r="A37" s="323"/>
      <c r="B37" s="324"/>
      <c r="C37" s="37"/>
      <c r="D37" s="297"/>
      <c r="E37" s="329"/>
      <c r="F37" s="327">
        <f t="shared" si="4"/>
        <v>0</v>
      </c>
      <c r="G37" s="244"/>
      <c r="H37" s="244" t="str">
        <f>IF(A37="","",VLOOKUP(A37,'6.A'!$A$11:$E$8163,5,FALSE))</f>
        <v/>
      </c>
      <c r="I37" s="244" t="str">
        <f t="shared" si="5"/>
        <v/>
      </c>
      <c r="J37" s="244" t="str">
        <f>IF(H37="","",VLOOKUP(A37,'6.A'!$A$11:$E$743,4,FALSE))</f>
        <v/>
      </c>
      <c r="K37" s="244" t="str">
        <f t="shared" si="6"/>
        <v/>
      </c>
      <c r="L37" s="244" t="str">
        <f>IF(H37="","",IF(C37="","",G12*C37))</f>
        <v/>
      </c>
      <c r="M37" s="328" t="str">
        <f>IF(A37="","",VLOOKUP(A37,'6.A'!$A$11:$C$743,2,FALSE))</f>
        <v/>
      </c>
      <c r="N37" s="274" t="str">
        <f t="shared" si="7"/>
        <v/>
      </c>
      <c r="O37" s="273"/>
      <c r="P37" s="273"/>
      <c r="Q37" s="243"/>
      <c r="R37" s="243"/>
      <c r="S37" s="291"/>
      <c r="T37" s="276"/>
      <c r="U37" s="276"/>
      <c r="V37" s="276"/>
    </row>
    <row r="38" spans="1:22" s="304" customFormat="1" ht="12.75" customHeight="1" x14ac:dyDescent="0.2">
      <c r="A38" s="323"/>
      <c r="B38" s="331" t="str">
        <f>$A$9</f>
        <v>BDI - M.O / SERV. / MAT. COMUNS</v>
      </c>
      <c r="C38" s="3">
        <f>$C$9</f>
        <v>0</v>
      </c>
      <c r="D38" s="297"/>
      <c r="E38" s="298"/>
      <c r="F38" s="332">
        <f>ROUND(SUM(F28:F37)*C38,2)</f>
        <v>0</v>
      </c>
      <c r="G38" s="333"/>
      <c r="H38" s="244"/>
      <c r="I38" s="274"/>
      <c r="J38" s="274"/>
      <c r="K38" s="274"/>
      <c r="L38" s="244"/>
      <c r="M38" s="334"/>
      <c r="N38" s="274"/>
      <c r="O38" s="273"/>
      <c r="P38" s="273"/>
      <c r="Q38" s="243"/>
      <c r="R38" s="243"/>
      <c r="S38" s="291"/>
      <c r="T38" s="276"/>
      <c r="U38" s="276"/>
      <c r="V38" s="276"/>
    </row>
    <row r="39" spans="1:22" s="304" customFormat="1" ht="12.75" customHeight="1" x14ac:dyDescent="0.2">
      <c r="A39" s="336"/>
      <c r="B39" s="345" t="s">
        <v>108</v>
      </c>
      <c r="C39" s="346"/>
      <c r="D39" s="347"/>
      <c r="E39" s="348"/>
      <c r="F39" s="341">
        <f>ROUND(SUM(F28:F38),2)</f>
        <v>0</v>
      </c>
      <c r="G39" s="333"/>
      <c r="H39" s="244"/>
      <c r="I39" s="274"/>
      <c r="J39" s="274"/>
      <c r="K39" s="274"/>
      <c r="L39" s="244"/>
      <c r="M39" s="334"/>
      <c r="N39" s="274"/>
      <c r="O39" s="273"/>
      <c r="P39" s="273"/>
      <c r="Q39" s="243"/>
      <c r="R39" s="243"/>
      <c r="S39" s="291"/>
      <c r="T39" s="276"/>
      <c r="U39" s="276"/>
      <c r="V39" s="276"/>
    </row>
    <row r="40" spans="1:22" s="304" customFormat="1" ht="12.75" customHeight="1" x14ac:dyDescent="0.2">
      <c r="A40" s="317" t="s">
        <v>6</v>
      </c>
      <c r="B40" s="318" t="s">
        <v>20</v>
      </c>
      <c r="C40" s="319" t="s">
        <v>55</v>
      </c>
      <c r="D40" s="319" t="s">
        <v>19</v>
      </c>
      <c r="E40" s="320" t="s">
        <v>56</v>
      </c>
      <c r="F40" s="321" t="s">
        <v>57</v>
      </c>
      <c r="G40" s="322"/>
      <c r="H40" s="244"/>
      <c r="I40" s="274"/>
      <c r="J40" s="274"/>
      <c r="K40" s="274"/>
      <c r="L40" s="244"/>
      <c r="M40" s="334"/>
      <c r="N40" s="274"/>
      <c r="O40" s="273"/>
      <c r="P40" s="273"/>
      <c r="Q40" s="243"/>
      <c r="R40" s="243"/>
      <c r="S40" s="291"/>
      <c r="T40" s="276"/>
      <c r="U40" s="276"/>
      <c r="V40" s="276"/>
    </row>
    <row r="41" spans="1:22" s="304" customFormat="1" ht="12.75" customHeight="1" x14ac:dyDescent="0.2">
      <c r="A41" s="323"/>
      <c r="B41" s="324"/>
      <c r="C41" s="37"/>
      <c r="D41" s="297"/>
      <c r="E41" s="329"/>
      <c r="F41" s="327">
        <f t="shared" ref="F41:F60" si="8">ROUND(C41*E41,2)</f>
        <v>0</v>
      </c>
      <c r="G41" s="244"/>
      <c r="H41" s="244" t="str">
        <f>IF(A41="","",VLOOKUP(A41,'6.A'!$A$11:$E$8163,5,FALSE))</f>
        <v/>
      </c>
      <c r="I41" s="244" t="str">
        <f t="shared" ref="I41:I60" si="9">IF(H41="","",IF(E41=H41,"SIM","NÃO"))</f>
        <v/>
      </c>
      <c r="J41" s="244" t="str">
        <f>IF(H41="","",VLOOKUP(A41,'6.A'!$A$11:$E$743,4,FALSE))</f>
        <v/>
      </c>
      <c r="K41" s="244" t="str">
        <f t="shared" ref="K41:K60" si="10">IF(H41="","",IF(J41=D41,"SIM","NÃO"))</f>
        <v/>
      </c>
      <c r="L41" s="244" t="str">
        <f>IF(H41="","",IF(C41="","",G12*C41))</f>
        <v/>
      </c>
      <c r="M41" s="328" t="str">
        <f>IF(A41="","",VLOOKUP(A41,'6.A'!$A$11:$C$743,2,FALSE))</f>
        <v/>
      </c>
      <c r="N41" s="274" t="str">
        <f t="shared" ref="N41:N60" si="11">IF(A41="","",IF(M41=B41,"si","no"))</f>
        <v/>
      </c>
      <c r="O41" s="273"/>
      <c r="P41" s="273"/>
      <c r="Q41" s="243"/>
      <c r="R41" s="243"/>
      <c r="S41" s="291"/>
      <c r="T41" s="276"/>
      <c r="U41" s="276"/>
      <c r="V41" s="276"/>
    </row>
    <row r="42" spans="1:22" s="304" customFormat="1" ht="12.75" customHeight="1" x14ac:dyDescent="0.2">
      <c r="A42" s="323"/>
      <c r="B42" s="324"/>
      <c r="C42" s="37"/>
      <c r="D42" s="297"/>
      <c r="E42" s="329"/>
      <c r="F42" s="327">
        <f t="shared" si="8"/>
        <v>0</v>
      </c>
      <c r="G42" s="244"/>
      <c r="H42" s="244" t="str">
        <f>IF(A42="","",VLOOKUP(A42,'6.A'!$A$11:$E$8163,5,FALSE))</f>
        <v/>
      </c>
      <c r="I42" s="244" t="str">
        <f t="shared" si="9"/>
        <v/>
      </c>
      <c r="J42" s="244" t="str">
        <f>IF(H42="","",VLOOKUP(A42,'6.A'!$A$11:$E$743,4,FALSE))</f>
        <v/>
      </c>
      <c r="K42" s="244" t="str">
        <f t="shared" si="10"/>
        <v/>
      </c>
      <c r="L42" s="244" t="str">
        <f>IF(H42="","",IF(C42="","",G12*C42))</f>
        <v/>
      </c>
      <c r="M42" s="328" t="str">
        <f>IF(A42="","",VLOOKUP(A42,'6.A'!$A$11:$C$743,2,FALSE))</f>
        <v/>
      </c>
      <c r="N42" s="274" t="str">
        <f t="shared" si="11"/>
        <v/>
      </c>
      <c r="O42" s="273"/>
      <c r="P42" s="273"/>
      <c r="Q42" s="243"/>
      <c r="R42" s="243"/>
      <c r="S42" s="291"/>
      <c r="T42" s="276"/>
      <c r="U42" s="276"/>
      <c r="V42" s="276"/>
    </row>
    <row r="43" spans="1:22" s="304" customFormat="1" ht="12.75" customHeight="1" x14ac:dyDescent="0.2">
      <c r="A43" s="323"/>
      <c r="B43" s="324"/>
      <c r="C43" s="37"/>
      <c r="D43" s="297"/>
      <c r="E43" s="329"/>
      <c r="F43" s="327">
        <f t="shared" si="8"/>
        <v>0</v>
      </c>
      <c r="G43" s="244"/>
      <c r="H43" s="244" t="str">
        <f>IF(A43="","",VLOOKUP(A43,'6.A'!$A$11:$E$8163,5,FALSE))</f>
        <v/>
      </c>
      <c r="I43" s="244" t="str">
        <f t="shared" si="9"/>
        <v/>
      </c>
      <c r="J43" s="244" t="str">
        <f>IF(H43="","",VLOOKUP(A43,'6.A'!$A$11:$E$743,4,FALSE))</f>
        <v/>
      </c>
      <c r="K43" s="244" t="str">
        <f t="shared" si="10"/>
        <v/>
      </c>
      <c r="L43" s="244" t="str">
        <f>IF(H43="","",IF(C43="","",G12*C43))</f>
        <v/>
      </c>
      <c r="M43" s="328" t="str">
        <f>IF(A43="","",VLOOKUP(A43,'6.A'!$A$11:$C$743,2,FALSE))</f>
        <v/>
      </c>
      <c r="N43" s="274" t="str">
        <f t="shared" si="11"/>
        <v/>
      </c>
      <c r="O43" s="273"/>
      <c r="P43" s="273"/>
      <c r="Q43" s="243"/>
      <c r="R43" s="243"/>
      <c r="S43" s="291"/>
      <c r="T43" s="276"/>
      <c r="U43" s="276"/>
      <c r="V43" s="276"/>
    </row>
    <row r="44" spans="1:22" s="304" customFormat="1" ht="12.75" customHeight="1" x14ac:dyDescent="0.2">
      <c r="A44" s="323"/>
      <c r="B44" s="324"/>
      <c r="C44" s="37"/>
      <c r="D44" s="297"/>
      <c r="E44" s="329"/>
      <c r="F44" s="327">
        <f t="shared" si="8"/>
        <v>0</v>
      </c>
      <c r="G44" s="244"/>
      <c r="H44" s="244" t="str">
        <f>IF(A44="","",VLOOKUP(A44,'6.A'!$A$11:$E$8163,5,FALSE))</f>
        <v/>
      </c>
      <c r="I44" s="244" t="str">
        <f t="shared" si="9"/>
        <v/>
      </c>
      <c r="J44" s="244" t="str">
        <f>IF(H44="","",VLOOKUP(A44,'6.A'!$A$11:$E$743,4,FALSE))</f>
        <v/>
      </c>
      <c r="K44" s="244" t="str">
        <f t="shared" si="10"/>
        <v/>
      </c>
      <c r="L44" s="244" t="str">
        <f>IF(H44="","",IF(C44="","",G12*C44))</f>
        <v/>
      </c>
      <c r="M44" s="328" t="str">
        <f>IF(A44="","",VLOOKUP(A44,'6.A'!$A$11:$C$743,2,FALSE))</f>
        <v/>
      </c>
      <c r="N44" s="274" t="str">
        <f t="shared" si="11"/>
        <v/>
      </c>
      <c r="O44" s="273"/>
      <c r="P44" s="273"/>
      <c r="Q44" s="243"/>
      <c r="R44" s="243"/>
      <c r="S44" s="291"/>
      <c r="T44" s="276"/>
      <c r="U44" s="276"/>
      <c r="V44" s="276"/>
    </row>
    <row r="45" spans="1:22" s="304" customFormat="1" ht="12.75" customHeight="1" x14ac:dyDescent="0.2">
      <c r="A45" s="323"/>
      <c r="B45" s="324"/>
      <c r="C45" s="37"/>
      <c r="D45" s="297"/>
      <c r="E45" s="329"/>
      <c r="F45" s="327">
        <f t="shared" si="8"/>
        <v>0</v>
      </c>
      <c r="G45" s="244"/>
      <c r="H45" s="244" t="str">
        <f>IF(A45="","",VLOOKUP(A45,'6.A'!$A$11:$E$8163,5,FALSE))</f>
        <v/>
      </c>
      <c r="I45" s="244" t="str">
        <f t="shared" si="9"/>
        <v/>
      </c>
      <c r="J45" s="244" t="str">
        <f>IF(H45="","",VLOOKUP(A45,'6.A'!$A$11:$E$743,4,FALSE))</f>
        <v/>
      </c>
      <c r="K45" s="244" t="str">
        <f t="shared" si="10"/>
        <v/>
      </c>
      <c r="L45" s="244" t="str">
        <f>IF(H45="","",IF(C45="","",G12*C45))</f>
        <v/>
      </c>
      <c r="M45" s="328" t="str">
        <f>IF(A45="","",VLOOKUP(A45,'6.A'!$A$11:$C$743,2,FALSE))</f>
        <v/>
      </c>
      <c r="N45" s="274" t="str">
        <f t="shared" si="11"/>
        <v/>
      </c>
      <c r="O45" s="273"/>
      <c r="P45" s="273"/>
      <c r="Q45" s="243"/>
      <c r="R45" s="243"/>
      <c r="S45" s="291"/>
      <c r="T45" s="276"/>
      <c r="U45" s="276"/>
      <c r="V45" s="276"/>
    </row>
    <row r="46" spans="1:22" s="304" customFormat="1" ht="12.75" customHeight="1" x14ac:dyDescent="0.2">
      <c r="A46" s="323"/>
      <c r="B46" s="324"/>
      <c r="C46" s="37"/>
      <c r="D46" s="297"/>
      <c r="E46" s="329"/>
      <c r="F46" s="327">
        <f t="shared" si="8"/>
        <v>0</v>
      </c>
      <c r="G46" s="244"/>
      <c r="H46" s="244" t="str">
        <f>IF(A46="","",VLOOKUP(A46,'6.A'!$A$11:$E$8163,5,FALSE))</f>
        <v/>
      </c>
      <c r="I46" s="244" t="str">
        <f t="shared" si="9"/>
        <v/>
      </c>
      <c r="J46" s="244" t="str">
        <f>IF(H46="","",VLOOKUP(A46,'6.A'!$A$11:$E$743,4,FALSE))</f>
        <v/>
      </c>
      <c r="K46" s="244" t="str">
        <f t="shared" si="10"/>
        <v/>
      </c>
      <c r="L46" s="244" t="str">
        <f>IF(H46="","",IF(C46="","",G12*C46))</f>
        <v/>
      </c>
      <c r="M46" s="328" t="str">
        <f>IF(A46="","",VLOOKUP(A46,'6.A'!$A$11:$C$743,2,FALSE))</f>
        <v/>
      </c>
      <c r="N46" s="274" t="str">
        <f t="shared" si="11"/>
        <v/>
      </c>
      <c r="O46" s="273"/>
      <c r="P46" s="273"/>
      <c r="Q46" s="243"/>
      <c r="R46" s="243"/>
      <c r="S46" s="291"/>
      <c r="T46" s="276"/>
      <c r="U46" s="276"/>
      <c r="V46" s="276"/>
    </row>
    <row r="47" spans="1:22" s="304" customFormat="1" ht="12.75" customHeight="1" x14ac:dyDescent="0.2">
      <c r="A47" s="323"/>
      <c r="B47" s="324"/>
      <c r="C47" s="37"/>
      <c r="D47" s="297"/>
      <c r="E47" s="329"/>
      <c r="F47" s="327">
        <f t="shared" si="8"/>
        <v>0</v>
      </c>
      <c r="G47" s="244"/>
      <c r="H47" s="244" t="str">
        <f>IF(A47="","",VLOOKUP(A47,'6.A'!$A$11:$E$8163,5,FALSE))</f>
        <v/>
      </c>
      <c r="I47" s="244" t="str">
        <f t="shared" si="9"/>
        <v/>
      </c>
      <c r="J47" s="244" t="str">
        <f>IF(H47="","",VLOOKUP(A47,'6.A'!$A$11:$E$743,4,FALSE))</f>
        <v/>
      </c>
      <c r="K47" s="244" t="str">
        <f t="shared" si="10"/>
        <v/>
      </c>
      <c r="L47" s="244" t="str">
        <f>IF(H47="","",IF(C47="","",G12*C47))</f>
        <v/>
      </c>
      <c r="M47" s="328" t="str">
        <f>IF(A47="","",VLOOKUP(A47,'6.A'!$A$11:$C$743,2,FALSE))</f>
        <v/>
      </c>
      <c r="N47" s="274" t="str">
        <f t="shared" si="11"/>
        <v/>
      </c>
      <c r="O47" s="273"/>
      <c r="P47" s="273"/>
      <c r="Q47" s="243"/>
      <c r="R47" s="243"/>
      <c r="S47" s="291"/>
      <c r="T47" s="276"/>
      <c r="U47" s="276"/>
      <c r="V47" s="276"/>
    </row>
    <row r="48" spans="1:22" s="304" customFormat="1" ht="12.75" customHeight="1" x14ac:dyDescent="0.2">
      <c r="A48" s="323"/>
      <c r="B48" s="324"/>
      <c r="C48" s="37"/>
      <c r="D48" s="297"/>
      <c r="E48" s="329"/>
      <c r="F48" s="327">
        <f t="shared" si="8"/>
        <v>0</v>
      </c>
      <c r="G48" s="244"/>
      <c r="H48" s="244" t="str">
        <f>IF(A48="","",VLOOKUP(A48,'6.A'!$A$11:$E$8163,5,FALSE))</f>
        <v/>
      </c>
      <c r="I48" s="244" t="str">
        <f t="shared" si="9"/>
        <v/>
      </c>
      <c r="J48" s="244" t="str">
        <f>IF(H48="","",VLOOKUP(A48,'6.A'!$A$11:$E$743,4,FALSE))</f>
        <v/>
      </c>
      <c r="K48" s="244" t="str">
        <f t="shared" si="10"/>
        <v/>
      </c>
      <c r="L48" s="244" t="str">
        <f>IF(H48="","",IF(C48="","",G12*C48))</f>
        <v/>
      </c>
      <c r="M48" s="328" t="str">
        <f>IF(A48="","",VLOOKUP(A48,'6.A'!$A$11:$C$743,2,FALSE))</f>
        <v/>
      </c>
      <c r="N48" s="274" t="str">
        <f t="shared" si="11"/>
        <v/>
      </c>
      <c r="O48" s="273"/>
      <c r="P48" s="273"/>
      <c r="Q48" s="243"/>
      <c r="R48" s="243"/>
      <c r="S48" s="291"/>
      <c r="T48" s="276"/>
      <c r="U48" s="276"/>
      <c r="V48" s="276"/>
    </row>
    <row r="49" spans="1:22" s="304" customFormat="1" ht="12.75" customHeight="1" x14ac:dyDescent="0.2">
      <c r="A49" s="323"/>
      <c r="B49" s="324"/>
      <c r="C49" s="37"/>
      <c r="D49" s="297"/>
      <c r="E49" s="329"/>
      <c r="F49" s="327">
        <f t="shared" si="8"/>
        <v>0</v>
      </c>
      <c r="G49" s="244"/>
      <c r="H49" s="244" t="str">
        <f>IF(A49="","",VLOOKUP(A49,'6.A'!$A$11:$E$8163,5,FALSE))</f>
        <v/>
      </c>
      <c r="I49" s="244" t="str">
        <f t="shared" si="9"/>
        <v/>
      </c>
      <c r="J49" s="244" t="str">
        <f>IF(H49="","",VLOOKUP(A49,'6.A'!$A$11:$E$743,4,FALSE))</f>
        <v/>
      </c>
      <c r="K49" s="244" t="str">
        <f t="shared" si="10"/>
        <v/>
      </c>
      <c r="L49" s="244" t="str">
        <f>IF(H49="","",IF(C49="","",G12*C49))</f>
        <v/>
      </c>
      <c r="M49" s="328" t="str">
        <f>IF(A49="","",VLOOKUP(A49,'6.A'!$A$11:$C$743,2,FALSE))</f>
        <v/>
      </c>
      <c r="N49" s="274" t="str">
        <f t="shared" si="11"/>
        <v/>
      </c>
      <c r="O49" s="273"/>
      <c r="P49" s="273"/>
      <c r="Q49" s="243"/>
      <c r="R49" s="243"/>
      <c r="S49" s="291"/>
      <c r="T49" s="276"/>
      <c r="U49" s="276"/>
      <c r="V49" s="276"/>
    </row>
    <row r="50" spans="1:22" s="304" customFormat="1" ht="12.75" customHeight="1" x14ac:dyDescent="0.2">
      <c r="A50" s="323"/>
      <c r="B50" s="324"/>
      <c r="C50" s="37"/>
      <c r="D50" s="297"/>
      <c r="E50" s="329"/>
      <c r="F50" s="327">
        <f t="shared" si="8"/>
        <v>0</v>
      </c>
      <c r="G50" s="244"/>
      <c r="H50" s="244" t="str">
        <f>IF(A50="","",VLOOKUP(A50,'6.A'!$A$11:$E$8163,5,FALSE))</f>
        <v/>
      </c>
      <c r="I50" s="244" t="str">
        <f t="shared" si="9"/>
        <v/>
      </c>
      <c r="J50" s="244" t="str">
        <f>IF(H50="","",VLOOKUP(A50,'6.A'!$A$11:$E$743,4,FALSE))</f>
        <v/>
      </c>
      <c r="K50" s="244" t="str">
        <f t="shared" si="10"/>
        <v/>
      </c>
      <c r="L50" s="244" t="str">
        <f>IF(H50="","",IF(C50="","",G12*C50))</f>
        <v/>
      </c>
      <c r="M50" s="328" t="str">
        <f>IF(A50="","",VLOOKUP(A50,'6.A'!$A$11:$C$743,2,FALSE))</f>
        <v/>
      </c>
      <c r="N50" s="274" t="str">
        <f t="shared" si="11"/>
        <v/>
      </c>
      <c r="O50" s="273"/>
      <c r="P50" s="273"/>
      <c r="Q50" s="243"/>
      <c r="R50" s="243"/>
      <c r="S50" s="291"/>
      <c r="T50" s="276"/>
      <c r="U50" s="276"/>
      <c r="V50" s="276"/>
    </row>
    <row r="51" spans="1:22" s="304" customFormat="1" ht="12.75" customHeight="1" x14ac:dyDescent="0.2">
      <c r="A51" s="323"/>
      <c r="B51" s="324"/>
      <c r="C51" s="37"/>
      <c r="D51" s="297"/>
      <c r="E51" s="329"/>
      <c r="F51" s="327">
        <f t="shared" si="8"/>
        <v>0</v>
      </c>
      <c r="G51" s="244"/>
      <c r="H51" s="244" t="str">
        <f>IF(A51="","",VLOOKUP(A51,'6.A'!$A$11:$E$8163,5,FALSE))</f>
        <v/>
      </c>
      <c r="I51" s="244" t="str">
        <f t="shared" si="9"/>
        <v/>
      </c>
      <c r="J51" s="244" t="str">
        <f>IF(H51="","",VLOOKUP(A51,'6.A'!$A$11:$E$743,4,FALSE))</f>
        <v/>
      </c>
      <c r="K51" s="244" t="str">
        <f t="shared" si="10"/>
        <v/>
      </c>
      <c r="L51" s="244" t="str">
        <f>IF(H51="","",IF(C51="","",G12*C51))</f>
        <v/>
      </c>
      <c r="M51" s="328" t="str">
        <f>IF(A51="","",VLOOKUP(A51,'6.A'!$A$11:$C$743,2,FALSE))</f>
        <v/>
      </c>
      <c r="N51" s="274" t="str">
        <f t="shared" si="11"/>
        <v/>
      </c>
      <c r="O51" s="273"/>
      <c r="P51" s="273"/>
      <c r="Q51" s="243"/>
      <c r="R51" s="243"/>
      <c r="S51" s="291"/>
      <c r="T51" s="276"/>
      <c r="U51" s="276"/>
      <c r="V51" s="276"/>
    </row>
    <row r="52" spans="1:22" s="304" customFormat="1" ht="12.75" customHeight="1" x14ac:dyDescent="0.2">
      <c r="A52" s="323"/>
      <c r="B52" s="324"/>
      <c r="C52" s="37"/>
      <c r="D52" s="297"/>
      <c r="E52" s="329"/>
      <c r="F52" s="327">
        <f t="shared" si="8"/>
        <v>0</v>
      </c>
      <c r="G52" s="244"/>
      <c r="H52" s="244" t="str">
        <f>IF(A52="","",VLOOKUP(A52,'6.A'!$A$11:$E$8163,5,FALSE))</f>
        <v/>
      </c>
      <c r="I52" s="244" t="str">
        <f t="shared" si="9"/>
        <v/>
      </c>
      <c r="J52" s="244" t="str">
        <f>IF(H52="","",VLOOKUP(A52,'6.A'!$A$11:$E$743,4,FALSE))</f>
        <v/>
      </c>
      <c r="K52" s="244" t="str">
        <f t="shared" si="10"/>
        <v/>
      </c>
      <c r="L52" s="244" t="str">
        <f>IF(H52="","",IF(C52="","",G12*C52))</f>
        <v/>
      </c>
      <c r="M52" s="328" t="str">
        <f>IF(A52="","",VLOOKUP(A52,'6.A'!$A$11:$C$743,2,FALSE))</f>
        <v/>
      </c>
      <c r="N52" s="274" t="str">
        <f t="shared" si="11"/>
        <v/>
      </c>
      <c r="O52" s="273"/>
      <c r="P52" s="273"/>
      <c r="Q52" s="243"/>
      <c r="R52" s="243"/>
      <c r="S52" s="291"/>
      <c r="T52" s="276"/>
      <c r="U52" s="276"/>
      <c r="V52" s="276"/>
    </row>
    <row r="53" spans="1:22" s="304" customFormat="1" ht="12.75" customHeight="1" x14ac:dyDescent="0.2">
      <c r="A53" s="323"/>
      <c r="B53" s="324"/>
      <c r="C53" s="37"/>
      <c r="D53" s="297"/>
      <c r="E53" s="329"/>
      <c r="F53" s="327">
        <f t="shared" si="8"/>
        <v>0</v>
      </c>
      <c r="G53" s="244"/>
      <c r="H53" s="244" t="str">
        <f>IF(A53="","",VLOOKUP(A53,'6.A'!$A$11:$E$8163,5,FALSE))</f>
        <v/>
      </c>
      <c r="I53" s="244" t="str">
        <f t="shared" si="9"/>
        <v/>
      </c>
      <c r="J53" s="244" t="str">
        <f>IF(H53="","",VLOOKUP(A53,'6.A'!$A$11:$E$743,4,FALSE))</f>
        <v/>
      </c>
      <c r="K53" s="244" t="str">
        <f t="shared" si="10"/>
        <v/>
      </c>
      <c r="L53" s="244" t="str">
        <f>IF(H53="","",IF(C53="","",G12*C53))</f>
        <v/>
      </c>
      <c r="M53" s="328" t="str">
        <f>IF(A53="","",VLOOKUP(A53,'6.A'!$A$11:$C$743,2,FALSE))</f>
        <v/>
      </c>
      <c r="N53" s="274" t="str">
        <f t="shared" si="11"/>
        <v/>
      </c>
      <c r="O53" s="273"/>
      <c r="P53" s="273"/>
      <c r="Q53" s="243"/>
      <c r="R53" s="243"/>
      <c r="S53" s="291"/>
      <c r="T53" s="276"/>
      <c r="U53" s="276"/>
      <c r="V53" s="276"/>
    </row>
    <row r="54" spans="1:22" s="304" customFormat="1" ht="12.75" customHeight="1" x14ac:dyDescent="0.2">
      <c r="A54" s="323"/>
      <c r="B54" s="324"/>
      <c r="C54" s="37"/>
      <c r="D54" s="297"/>
      <c r="E54" s="329"/>
      <c r="F54" s="327">
        <f t="shared" si="8"/>
        <v>0</v>
      </c>
      <c r="G54" s="244"/>
      <c r="H54" s="244" t="str">
        <f>IF(A54="","",VLOOKUP(A54,'6.A'!$A$11:$E$8163,5,FALSE))</f>
        <v/>
      </c>
      <c r="I54" s="244" t="str">
        <f t="shared" si="9"/>
        <v/>
      </c>
      <c r="J54" s="244" t="str">
        <f>IF(H54="","",VLOOKUP(A54,'6.A'!$A$11:$E$743,4,FALSE))</f>
        <v/>
      </c>
      <c r="K54" s="244" t="str">
        <f t="shared" si="10"/>
        <v/>
      </c>
      <c r="L54" s="244" t="str">
        <f>IF(H54="","",IF(C54="","",G12*C54))</f>
        <v/>
      </c>
      <c r="M54" s="328" t="str">
        <f>IF(A54="","",VLOOKUP(A54,'6.A'!$A$11:$C$743,2,FALSE))</f>
        <v/>
      </c>
      <c r="N54" s="274" t="str">
        <f t="shared" si="11"/>
        <v/>
      </c>
      <c r="O54" s="273"/>
      <c r="P54" s="273"/>
      <c r="Q54" s="243"/>
      <c r="R54" s="243"/>
      <c r="S54" s="291"/>
      <c r="T54" s="276"/>
      <c r="U54" s="276"/>
      <c r="V54" s="276"/>
    </row>
    <row r="55" spans="1:22" s="304" customFormat="1" ht="12.75" customHeight="1" x14ac:dyDescent="0.2">
      <c r="A55" s="323"/>
      <c r="B55" s="324"/>
      <c r="C55" s="37"/>
      <c r="D55" s="297"/>
      <c r="E55" s="329"/>
      <c r="F55" s="327">
        <f t="shared" si="8"/>
        <v>0</v>
      </c>
      <c r="G55" s="244"/>
      <c r="H55" s="244" t="str">
        <f>IF(A55="","",VLOOKUP(A55,'6.A'!$A$11:$E$8163,5,FALSE))</f>
        <v/>
      </c>
      <c r="I55" s="244" t="str">
        <f t="shared" si="9"/>
        <v/>
      </c>
      <c r="J55" s="244" t="str">
        <f>IF(H55="","",VLOOKUP(A55,'6.A'!$A$11:$E$743,4,FALSE))</f>
        <v/>
      </c>
      <c r="K55" s="244" t="str">
        <f t="shared" si="10"/>
        <v/>
      </c>
      <c r="L55" s="244" t="str">
        <f>IF(H55="","",IF(C55="","",G12*C55))</f>
        <v/>
      </c>
      <c r="M55" s="328" t="str">
        <f>IF(A55="","",VLOOKUP(A55,'6.A'!$A$11:$C$743,2,FALSE))</f>
        <v/>
      </c>
      <c r="N55" s="274" t="str">
        <f t="shared" si="11"/>
        <v/>
      </c>
      <c r="O55" s="273"/>
      <c r="P55" s="273"/>
      <c r="Q55" s="243"/>
      <c r="R55" s="243"/>
      <c r="S55" s="291"/>
      <c r="T55" s="276"/>
      <c r="U55" s="276"/>
      <c r="V55" s="276"/>
    </row>
    <row r="56" spans="1:22" s="304" customFormat="1" ht="12.75" customHeight="1" x14ac:dyDescent="0.2">
      <c r="A56" s="323"/>
      <c r="B56" s="324"/>
      <c r="C56" s="37"/>
      <c r="D56" s="297"/>
      <c r="E56" s="329"/>
      <c r="F56" s="327">
        <f t="shared" si="8"/>
        <v>0</v>
      </c>
      <c r="G56" s="244"/>
      <c r="H56" s="244" t="str">
        <f>IF(A56="","",VLOOKUP(A56,'6.A'!$A$11:$E$8163,5,FALSE))</f>
        <v/>
      </c>
      <c r="I56" s="244" t="str">
        <f t="shared" si="9"/>
        <v/>
      </c>
      <c r="J56" s="244" t="str">
        <f>IF(H56="","",VLOOKUP(A56,'6.A'!$A$11:$E$743,4,FALSE))</f>
        <v/>
      </c>
      <c r="K56" s="244" t="str">
        <f t="shared" si="10"/>
        <v/>
      </c>
      <c r="L56" s="244" t="str">
        <f>IF(H56="","",IF(C56="","",G12*C56))</f>
        <v/>
      </c>
      <c r="M56" s="328" t="str">
        <f>IF(A56="","",VLOOKUP(A56,'6.A'!$A$11:$C$743,2,FALSE))</f>
        <v/>
      </c>
      <c r="N56" s="274" t="str">
        <f t="shared" si="11"/>
        <v/>
      </c>
      <c r="O56" s="273"/>
      <c r="P56" s="273"/>
      <c r="Q56" s="243"/>
      <c r="R56" s="243"/>
      <c r="S56" s="291"/>
      <c r="T56" s="276"/>
      <c r="U56" s="276"/>
      <c r="V56" s="276"/>
    </row>
    <row r="57" spans="1:22" s="304" customFormat="1" ht="12.75" customHeight="1" x14ac:dyDescent="0.2">
      <c r="A57" s="323"/>
      <c r="B57" s="349"/>
      <c r="C57" s="37"/>
      <c r="D57" s="297"/>
      <c r="E57" s="329"/>
      <c r="F57" s="327">
        <f t="shared" si="8"/>
        <v>0</v>
      </c>
      <c r="G57" s="244"/>
      <c r="H57" s="244" t="str">
        <f>IF(A57="","",VLOOKUP(A57,'6.A'!$A$11:$E$8163,5,FALSE))</f>
        <v/>
      </c>
      <c r="I57" s="244" t="str">
        <f t="shared" si="9"/>
        <v/>
      </c>
      <c r="J57" s="244" t="str">
        <f>IF(H57="","",VLOOKUP(A57,'6.A'!$A$11:$E$743,4,FALSE))</f>
        <v/>
      </c>
      <c r="K57" s="244" t="str">
        <f t="shared" si="10"/>
        <v/>
      </c>
      <c r="L57" s="244" t="str">
        <f>IF(H57="","",IF(C57="","",G12*C57))</f>
        <v/>
      </c>
      <c r="M57" s="328" t="str">
        <f>IF(A57="","",VLOOKUP(A57,'6.A'!$A$11:$C$743,2,FALSE))</f>
        <v/>
      </c>
      <c r="N57" s="274" t="str">
        <f t="shared" si="11"/>
        <v/>
      </c>
      <c r="O57" s="273"/>
      <c r="P57" s="273"/>
      <c r="Q57" s="243"/>
      <c r="R57" s="243"/>
      <c r="S57" s="291"/>
      <c r="T57" s="276"/>
      <c r="U57" s="276"/>
      <c r="V57" s="276"/>
    </row>
    <row r="58" spans="1:22" s="304" customFormat="1" ht="12.75" customHeight="1" x14ac:dyDescent="0.2">
      <c r="A58" s="323"/>
      <c r="B58" s="349"/>
      <c r="C58" s="37"/>
      <c r="D58" s="297"/>
      <c r="E58" s="329"/>
      <c r="F58" s="327">
        <f t="shared" si="8"/>
        <v>0</v>
      </c>
      <c r="G58" s="244"/>
      <c r="H58" s="244" t="str">
        <f>IF(A58="","",VLOOKUP(A58,'6.A'!$A$11:$E$8163,5,FALSE))</f>
        <v/>
      </c>
      <c r="I58" s="244" t="str">
        <f t="shared" si="9"/>
        <v/>
      </c>
      <c r="J58" s="244" t="str">
        <f>IF(H58="","",VLOOKUP(A58,'6.A'!$A$11:$E$743,4,FALSE))</f>
        <v/>
      </c>
      <c r="K58" s="244" t="str">
        <f t="shared" si="10"/>
        <v/>
      </c>
      <c r="L58" s="244" t="str">
        <f>IF(H58="","",IF(C58="","",G12*C58))</f>
        <v/>
      </c>
      <c r="M58" s="328" t="str">
        <f>IF(A58="","",VLOOKUP(A58,'6.A'!$A$11:$C$743,2,FALSE))</f>
        <v/>
      </c>
      <c r="N58" s="274" t="str">
        <f t="shared" si="11"/>
        <v/>
      </c>
      <c r="O58" s="273"/>
      <c r="P58" s="273"/>
      <c r="Q58" s="243"/>
      <c r="R58" s="243"/>
      <c r="S58" s="291"/>
      <c r="T58" s="276"/>
      <c r="U58" s="276"/>
      <c r="V58" s="276"/>
    </row>
    <row r="59" spans="1:22" s="305" customFormat="1" ht="12.75" customHeight="1" x14ac:dyDescent="0.2">
      <c r="A59" s="323"/>
      <c r="B59" s="349"/>
      <c r="C59" s="37"/>
      <c r="D59" s="297"/>
      <c r="E59" s="329"/>
      <c r="F59" s="327">
        <f t="shared" si="8"/>
        <v>0</v>
      </c>
      <c r="G59" s="244"/>
      <c r="H59" s="244" t="str">
        <f>IF(A59="","",VLOOKUP(A59,'6.A'!$A$11:$E$8163,5,FALSE))</f>
        <v/>
      </c>
      <c r="I59" s="244" t="str">
        <f t="shared" si="9"/>
        <v/>
      </c>
      <c r="J59" s="244" t="str">
        <f>IF(H59="","",VLOOKUP(A59,'6.A'!$A$11:$E$743,4,FALSE))</f>
        <v/>
      </c>
      <c r="K59" s="244" t="str">
        <f t="shared" si="10"/>
        <v/>
      </c>
      <c r="L59" s="244" t="str">
        <f>IF(H59="","",IF(C59="","",G12*C59))</f>
        <v/>
      </c>
      <c r="M59" s="328" t="str">
        <f>IF(A59="","",VLOOKUP(A59,'6.A'!$A$11:$C$743,2,FALSE))</f>
        <v/>
      </c>
      <c r="N59" s="274" t="str">
        <f t="shared" si="11"/>
        <v/>
      </c>
      <c r="O59" s="273"/>
      <c r="P59" s="273"/>
      <c r="Q59" s="243"/>
      <c r="R59" s="243"/>
      <c r="S59" s="291"/>
      <c r="T59" s="276"/>
      <c r="U59" s="276"/>
      <c r="V59" s="276"/>
    </row>
    <row r="60" spans="1:22" s="305" customFormat="1" ht="12.75" customHeight="1" x14ac:dyDescent="0.2">
      <c r="A60" s="323"/>
      <c r="B60" s="349"/>
      <c r="C60" s="37"/>
      <c r="D60" s="297"/>
      <c r="E60" s="329"/>
      <c r="F60" s="327">
        <f t="shared" si="8"/>
        <v>0</v>
      </c>
      <c r="G60" s="244"/>
      <c r="H60" s="244" t="str">
        <f>IF(A60="","",VLOOKUP(A60,'6.A'!$A$11:$E$8163,5,FALSE))</f>
        <v/>
      </c>
      <c r="I60" s="244" t="str">
        <f t="shared" si="9"/>
        <v/>
      </c>
      <c r="J60" s="244" t="str">
        <f>IF(H60="","",VLOOKUP(A60,'6.A'!$A$11:$E$743,4,FALSE))</f>
        <v/>
      </c>
      <c r="K60" s="244" t="str">
        <f t="shared" si="10"/>
        <v/>
      </c>
      <c r="L60" s="244" t="str">
        <f>IF(H60="","",IF(C60="","",G12*C60))</f>
        <v/>
      </c>
      <c r="M60" s="328" t="str">
        <f>IF(A60="","",VLOOKUP(A60,'6.A'!$A$11:$C$743,2,FALSE))</f>
        <v/>
      </c>
      <c r="N60" s="274" t="str">
        <f t="shared" si="11"/>
        <v/>
      </c>
      <c r="O60" s="273"/>
      <c r="P60" s="273"/>
      <c r="Q60" s="243"/>
      <c r="R60" s="243"/>
      <c r="S60" s="291"/>
      <c r="T60" s="276"/>
      <c r="U60" s="276"/>
      <c r="V60" s="276"/>
    </row>
    <row r="61" spans="1:22" s="305" customFormat="1" ht="12.75" customHeight="1" x14ac:dyDescent="0.2">
      <c r="A61" s="323"/>
      <c r="B61" s="331" t="str">
        <f>$A$9</f>
        <v>BDI - M.O / SERV. / MAT. COMUNS</v>
      </c>
      <c r="C61" s="350">
        <f>$C$9</f>
        <v>0</v>
      </c>
      <c r="D61" s="297"/>
      <c r="E61" s="298"/>
      <c r="F61" s="332">
        <f>ROUND(SUM(F41:F60)*C61,2)</f>
        <v>0</v>
      </c>
      <c r="G61" s="333"/>
      <c r="H61" s="244"/>
      <c r="I61" s="274"/>
      <c r="J61" s="274"/>
      <c r="K61" s="274"/>
      <c r="L61" s="244"/>
      <c r="M61" s="274"/>
      <c r="N61" s="274"/>
      <c r="O61" s="273"/>
      <c r="P61" s="273"/>
      <c r="Q61" s="243"/>
      <c r="R61" s="243"/>
      <c r="S61" s="291"/>
      <c r="T61" s="276"/>
      <c r="U61" s="276"/>
      <c r="V61" s="276"/>
    </row>
    <row r="62" spans="1:22" s="305" customFormat="1" ht="12.75" customHeight="1" thickBot="1" x14ac:dyDescent="0.25">
      <c r="A62" s="351"/>
      <c r="B62" s="352" t="s">
        <v>53</v>
      </c>
      <c r="C62" s="4"/>
      <c r="D62" s="353"/>
      <c r="E62" s="354"/>
      <c r="F62" s="355">
        <f>ROUND(SUM(F41:F61),2)</f>
        <v>0</v>
      </c>
      <c r="G62" s="333"/>
      <c r="H62" s="244"/>
      <c r="I62" s="274"/>
      <c r="J62" s="274"/>
      <c r="K62" s="274"/>
      <c r="L62" s="244"/>
      <c r="M62" s="274"/>
      <c r="N62" s="274"/>
      <c r="O62" s="273"/>
      <c r="P62" s="273"/>
      <c r="Q62" s="243"/>
      <c r="R62" s="243"/>
      <c r="S62" s="291"/>
      <c r="T62" s="276"/>
      <c r="U62" s="276"/>
      <c r="V62" s="276"/>
    </row>
    <row r="63" spans="1:22" s="305" customFormat="1" ht="9.9499999999999993" customHeight="1" thickBot="1" x14ac:dyDescent="0.25">
      <c r="A63" s="294"/>
      <c r="B63" s="295"/>
      <c r="C63" s="296"/>
      <c r="D63" s="297"/>
      <c r="E63" s="298"/>
      <c r="F63" s="299"/>
      <c r="G63" s="299"/>
      <c r="H63" s="300"/>
      <c r="I63" s="297"/>
      <c r="J63" s="297"/>
      <c r="K63" s="297"/>
      <c r="L63" s="300"/>
      <c r="M63" s="301"/>
      <c r="N63" s="301"/>
      <c r="O63" s="302"/>
      <c r="P63" s="302"/>
      <c r="Q63" s="303"/>
      <c r="R63" s="303"/>
      <c r="S63" s="304"/>
    </row>
    <row r="64" spans="1:22" s="305" customFormat="1" ht="50.1" customHeight="1" x14ac:dyDescent="0.2">
      <c r="A64" s="306" t="str">
        <f>'3.A'!$A$23</f>
        <v>2.1</v>
      </c>
      <c r="B64" s="307" t="str">
        <f>'3.A'!$B$23</f>
        <v>FORNECIMENTO POSTO OBRA E INSTALAÇÃO DE GUARDA-CORPO RETO EM POLÍMERO REFORÇADO COM FIBRA DE VIDRO</v>
      </c>
      <c r="C64" s="617" t="s">
        <v>58</v>
      </c>
      <c r="D64" s="617"/>
      <c r="E64" s="308" t="str">
        <f>'3.A'!$C$23</f>
        <v>M</v>
      </c>
      <c r="F64" s="2">
        <f>ROUND(F78+F91+F114,2)</f>
        <v>0</v>
      </c>
      <c r="G64" s="309">
        <f>VLOOKUP(A64,'3.A'!$A$1:$I$195,4,FALSE)</f>
        <v>1006</v>
      </c>
      <c r="H64" s="310">
        <f>SUM(F66:F77)</f>
        <v>0</v>
      </c>
      <c r="I64" s="310">
        <f>SUM(F80:F90)</f>
        <v>0</v>
      </c>
      <c r="J64" s="310">
        <f>SUM(F93:F113)</f>
        <v>0</v>
      </c>
      <c r="K64" s="310">
        <f>SUM(H64:J64)</f>
        <v>0</v>
      </c>
      <c r="L64" s="310" t="str">
        <f>IF(K64=F64,"SIM","NÃO")</f>
        <v>SIM</v>
      </c>
      <c r="M64" s="311">
        <f>ROUND(SUM(F66:F75)*C76,2)+ROUND(SUM(F66:F76)*C77,2)+ROUND(SUM(F66:F75),2)+ROUND(SUM(F80:F89)*C90,2)+ROUND(SUM(F80:F89),2)+ROUND(SUM(F93:F112)*C113,2)+ROUND(SUM(F93:F112),2)</f>
        <v>0</v>
      </c>
      <c r="N64" s="280" t="str">
        <f>IF(M64=F64,"SIM","NÃO")</f>
        <v>SIM</v>
      </c>
      <c r="O64" s="281" t="str">
        <f>VLOOKUP(A64,'3.A'!$A$9:$E$195,3,FALSE)</f>
        <v>M</v>
      </c>
      <c r="P64" s="281" t="str">
        <f>IF(O64=E64,"SIM","NÃO")</f>
        <v>SIM</v>
      </c>
      <c r="Q64" s="312">
        <f>ROUND(G64*F78,2)+ROUND(G64*F91,2)+ROUND(G64*F114,2)</f>
        <v>0</v>
      </c>
      <c r="R64" s="313">
        <f>VLOOKUP(A64,'3.A'!$A$18:$L$195,9,FALSE)</f>
        <v>0</v>
      </c>
      <c r="S64" s="314" t="str">
        <f>IF(Q64=R64,"si","no")</f>
        <v>si</v>
      </c>
      <c r="T64" s="315">
        <f>SUM(L66:L75)+SUM(L80:L89)+SUM(L93:L112)</f>
        <v>1006</v>
      </c>
      <c r="U64" s="244">
        <f>G64*C72+G64*C74+G64*C68+G64*C67+G64*C69+G64*C73+G64*C71+G64*C70+G64*C66+G64*C75+G64*C86+G64*C80+G64*C88+G64*C87+G64*C85+G64*C82+G64*C81+G64*C83+G64*C89+G64*C84+G64*C93+G64*C94+G64*C95+G64*C103+G64*C104+G64*C105+G64*C106+G64*C107+G64*C108+G64*C109+G64*C110+G64*C111+G64*C112+G64*C101+G64*C102+G64*C96+G64*C97+G64*C98+G64*C99+G64*C100</f>
        <v>1006</v>
      </c>
      <c r="V64" s="316" t="str">
        <f>IF(T64=U64,"si","no")</f>
        <v>si</v>
      </c>
    </row>
    <row r="65" spans="1:22" s="305" customFormat="1" ht="12.75" customHeight="1" x14ac:dyDescent="0.2">
      <c r="A65" s="317" t="s">
        <v>2</v>
      </c>
      <c r="B65" s="318" t="s">
        <v>54</v>
      </c>
      <c r="C65" s="319" t="s">
        <v>55</v>
      </c>
      <c r="D65" s="319" t="s">
        <v>19</v>
      </c>
      <c r="E65" s="320" t="s">
        <v>56</v>
      </c>
      <c r="F65" s="321" t="s">
        <v>57</v>
      </c>
      <c r="G65" s="322"/>
      <c r="H65" s="244"/>
      <c r="I65" s="274"/>
      <c r="J65" s="274"/>
      <c r="K65" s="274"/>
      <c r="L65" s="244"/>
      <c r="M65" s="274"/>
      <c r="N65" s="274"/>
      <c r="O65" s="273"/>
      <c r="P65" s="273"/>
      <c r="Q65" s="243"/>
      <c r="R65" s="243"/>
      <c r="S65" s="291"/>
      <c r="T65" s="276"/>
      <c r="U65" s="276"/>
      <c r="V65" s="276"/>
    </row>
    <row r="66" spans="1:22" s="304" customFormat="1" ht="12.75" customHeight="1" x14ac:dyDescent="0.2">
      <c r="A66" s="323"/>
      <c r="B66" s="324"/>
      <c r="C66" s="37"/>
      <c r="D66" s="325"/>
      <c r="E66" s="326"/>
      <c r="F66" s="327">
        <f t="shared" ref="F66:F75" si="12">ROUND(C66*E66,2)</f>
        <v>0</v>
      </c>
      <c r="G66" s="244"/>
      <c r="H66" s="244" t="str">
        <f>IF(A66="","",VLOOKUP(A66,'6.A'!$A$11:$E$8163,5,FALSE))</f>
        <v/>
      </c>
      <c r="I66" s="244" t="str">
        <f>IF(H66="","",IF(E66=H66,"SIM","NÃO"))</f>
        <v/>
      </c>
      <c r="J66" s="244" t="str">
        <f>IF(H66="","",VLOOKUP(A66,'6.A'!$A$11:$E$743,4,FALSE))</f>
        <v/>
      </c>
      <c r="K66" s="244" t="str">
        <f>IF(H66="","",IF(J66=D66,"SIM","NÃO"))</f>
        <v/>
      </c>
      <c r="L66" s="244" t="str">
        <f>IF(H66="","",IF(C66="","",G64*C66))</f>
        <v/>
      </c>
      <c r="M66" s="328" t="str">
        <f>IF(A66="","",VLOOKUP(A66,'6.A'!$A$11:$C$743,2,FALSE))</f>
        <v/>
      </c>
      <c r="N66" s="274" t="str">
        <f>IF(A66="","",IF(M66=B66,"si","no"))</f>
        <v/>
      </c>
      <c r="O66" s="273"/>
      <c r="P66" s="273"/>
      <c r="Q66" s="243"/>
      <c r="R66" s="243"/>
      <c r="S66" s="291"/>
      <c r="T66" s="276"/>
      <c r="U66" s="276"/>
      <c r="V66" s="276"/>
    </row>
    <row r="67" spans="1:22" s="304" customFormat="1" ht="12.75" customHeight="1" x14ac:dyDescent="0.2">
      <c r="A67" s="323"/>
      <c r="B67" s="324"/>
      <c r="C67" s="37"/>
      <c r="D67" s="325"/>
      <c r="E67" s="326"/>
      <c r="F67" s="327">
        <f t="shared" si="12"/>
        <v>0</v>
      </c>
      <c r="G67" s="244"/>
      <c r="H67" s="244" t="str">
        <f>IF(A67="","",VLOOKUP(A67,'6.A'!$A$11:$E$8163,5,FALSE))</f>
        <v/>
      </c>
      <c r="I67" s="244" t="str">
        <f t="shared" ref="I67:I75" si="13">IF(H67="","",IF(E67=H67,"SIM","NÃO"))</f>
        <v/>
      </c>
      <c r="J67" s="244" t="str">
        <f>IF(H67="","",VLOOKUP(A67,'6.A'!$A$11:$E$743,4,FALSE))</f>
        <v/>
      </c>
      <c r="K67" s="244" t="str">
        <f t="shared" ref="K67:K75" si="14">IF(H67="","",IF(J67=D67,"SIM","NÃO"))</f>
        <v/>
      </c>
      <c r="L67" s="244" t="str">
        <f>IF(H67="","",IF(C67="","",G64*C67))</f>
        <v/>
      </c>
      <c r="M67" s="328" t="str">
        <f>IF(A67="","",VLOOKUP(A67,'6.A'!$A$11:$C$743,2,FALSE))</f>
        <v/>
      </c>
      <c r="N67" s="274" t="str">
        <f t="shared" ref="N67:N75" si="15">IF(A67="","",IF(M67=B67,"si","no"))</f>
        <v/>
      </c>
      <c r="O67" s="273"/>
      <c r="P67" s="273"/>
      <c r="Q67" s="243"/>
      <c r="R67" s="243"/>
      <c r="S67" s="291"/>
      <c r="T67" s="276"/>
      <c r="U67" s="276"/>
      <c r="V67" s="276"/>
    </row>
    <row r="68" spans="1:22" s="304" customFormat="1" ht="12.75" customHeight="1" x14ac:dyDescent="0.2">
      <c r="A68" s="323"/>
      <c r="B68" s="324"/>
      <c r="C68" s="37"/>
      <c r="D68" s="325"/>
      <c r="E68" s="326"/>
      <c r="F68" s="327">
        <f t="shared" si="12"/>
        <v>0</v>
      </c>
      <c r="G68" s="244"/>
      <c r="H68" s="244" t="str">
        <f>IF(A68="","",VLOOKUP(A68,'6.A'!$A$11:$E$8163,5,FALSE))</f>
        <v/>
      </c>
      <c r="I68" s="244" t="str">
        <f t="shared" si="13"/>
        <v/>
      </c>
      <c r="J68" s="244" t="str">
        <f>IF(H68="","",VLOOKUP(A68,'6.A'!$A$11:$E$743,4,FALSE))</f>
        <v/>
      </c>
      <c r="K68" s="244" t="str">
        <f t="shared" si="14"/>
        <v/>
      </c>
      <c r="L68" s="244" t="str">
        <f>IF(H68="","",IF(C68="","",G64*C68))</f>
        <v/>
      </c>
      <c r="M68" s="328" t="str">
        <f>IF(A68="","",VLOOKUP(A68,'6.A'!$A$11:$C$743,2,FALSE))</f>
        <v/>
      </c>
      <c r="N68" s="274" t="str">
        <f t="shared" si="15"/>
        <v/>
      </c>
      <c r="O68" s="273"/>
      <c r="P68" s="273"/>
      <c r="Q68" s="243"/>
      <c r="R68" s="243"/>
      <c r="S68" s="291"/>
      <c r="T68" s="276"/>
      <c r="U68" s="276"/>
      <c r="V68" s="276"/>
    </row>
    <row r="69" spans="1:22" s="304" customFormat="1" ht="12.75" customHeight="1" x14ac:dyDescent="0.2">
      <c r="A69" s="323"/>
      <c r="B69" s="324"/>
      <c r="C69" s="37"/>
      <c r="D69" s="325"/>
      <c r="E69" s="326"/>
      <c r="F69" s="327">
        <f t="shared" si="12"/>
        <v>0</v>
      </c>
      <c r="G69" s="244"/>
      <c r="H69" s="244" t="str">
        <f>IF(A69="","",VLOOKUP(A69,'6.A'!$A$11:$E$8163,5,FALSE))</f>
        <v/>
      </c>
      <c r="I69" s="244" t="str">
        <f t="shared" si="13"/>
        <v/>
      </c>
      <c r="J69" s="244" t="str">
        <f>IF(H69="","",VLOOKUP(A69,'6.A'!$A$11:$E$743,4,FALSE))</f>
        <v/>
      </c>
      <c r="K69" s="244" t="str">
        <f t="shared" si="14"/>
        <v/>
      </c>
      <c r="L69" s="244" t="str">
        <f>IF(H69="","",IF(C69="","",G64*C69))</f>
        <v/>
      </c>
      <c r="M69" s="328" t="str">
        <f>IF(A69="","",VLOOKUP(A69,'6.A'!$A$11:$C$743,2,FALSE))</f>
        <v/>
      </c>
      <c r="N69" s="274" t="str">
        <f t="shared" si="15"/>
        <v/>
      </c>
      <c r="O69" s="273"/>
      <c r="P69" s="273"/>
      <c r="Q69" s="243"/>
      <c r="R69" s="243"/>
      <c r="S69" s="291"/>
      <c r="T69" s="276"/>
      <c r="U69" s="276"/>
      <c r="V69" s="276"/>
    </row>
    <row r="70" spans="1:22" s="304" customFormat="1" ht="12.75" customHeight="1" x14ac:dyDescent="0.2">
      <c r="A70" s="323"/>
      <c r="B70" s="324"/>
      <c r="C70" s="37"/>
      <c r="D70" s="325"/>
      <c r="E70" s="326"/>
      <c r="F70" s="327">
        <f t="shared" si="12"/>
        <v>0</v>
      </c>
      <c r="G70" s="244"/>
      <c r="H70" s="244" t="str">
        <f>IF(A70="","",VLOOKUP(A70,'6.A'!$A$11:$E$8163,5,FALSE))</f>
        <v/>
      </c>
      <c r="I70" s="244" t="str">
        <f t="shared" si="13"/>
        <v/>
      </c>
      <c r="J70" s="244" t="str">
        <f>IF(H70="","",VLOOKUP(A70,'6.A'!$A$11:$E$743,4,FALSE))</f>
        <v/>
      </c>
      <c r="K70" s="244" t="str">
        <f t="shared" si="14"/>
        <v/>
      </c>
      <c r="L70" s="244" t="str">
        <f>IF(H70="","",IF(C70="","",G64*C70))</f>
        <v/>
      </c>
      <c r="M70" s="328" t="str">
        <f>IF(A70="","",VLOOKUP(A70,'6.A'!$A$11:$C$743,2,FALSE))</f>
        <v/>
      </c>
      <c r="N70" s="274" t="str">
        <f t="shared" si="15"/>
        <v/>
      </c>
      <c r="O70" s="273"/>
      <c r="P70" s="273"/>
      <c r="Q70" s="243"/>
      <c r="R70" s="243"/>
      <c r="S70" s="291"/>
      <c r="T70" s="276"/>
      <c r="U70" s="276"/>
      <c r="V70" s="276"/>
    </row>
    <row r="71" spans="1:22" s="304" customFormat="1" ht="12.75" customHeight="1" x14ac:dyDescent="0.2">
      <c r="A71" s="323"/>
      <c r="B71" s="324"/>
      <c r="C71" s="37"/>
      <c r="D71" s="325"/>
      <c r="E71" s="326"/>
      <c r="F71" s="327">
        <f t="shared" si="12"/>
        <v>0</v>
      </c>
      <c r="G71" s="244"/>
      <c r="H71" s="244" t="str">
        <f>IF(A71="","",VLOOKUP(A71,'6.A'!$A$11:$E$8163,5,FALSE))</f>
        <v/>
      </c>
      <c r="I71" s="244" t="str">
        <f t="shared" si="13"/>
        <v/>
      </c>
      <c r="J71" s="244" t="str">
        <f>IF(H71="","",VLOOKUP(A71,'6.A'!$A$11:$E$743,4,FALSE))</f>
        <v/>
      </c>
      <c r="K71" s="244" t="str">
        <f t="shared" si="14"/>
        <v/>
      </c>
      <c r="L71" s="244" t="str">
        <f>IF(H71="","",IF(C71="","",G64*C71))</f>
        <v/>
      </c>
      <c r="M71" s="328" t="str">
        <f>IF(A71="","",VLOOKUP(A71,'6.A'!$A$11:$C$743,2,FALSE))</f>
        <v/>
      </c>
      <c r="N71" s="274" t="str">
        <f t="shared" si="15"/>
        <v/>
      </c>
      <c r="O71" s="273"/>
      <c r="P71" s="273"/>
      <c r="Q71" s="243"/>
      <c r="R71" s="243"/>
      <c r="S71" s="291"/>
      <c r="T71" s="276"/>
      <c r="U71" s="276"/>
      <c r="V71" s="276"/>
    </row>
    <row r="72" spans="1:22" s="304" customFormat="1" ht="12.75" customHeight="1" x14ac:dyDescent="0.2">
      <c r="A72" s="323"/>
      <c r="B72" s="324"/>
      <c r="C72" s="37"/>
      <c r="D72" s="297"/>
      <c r="E72" s="329"/>
      <c r="F72" s="327">
        <f t="shared" si="12"/>
        <v>0</v>
      </c>
      <c r="G72" s="244"/>
      <c r="H72" s="244" t="str">
        <f>IF(A72="","",VLOOKUP(A72,'6.A'!$A$11:$E$8163,5,FALSE))</f>
        <v/>
      </c>
      <c r="I72" s="244" t="str">
        <f t="shared" si="13"/>
        <v/>
      </c>
      <c r="J72" s="244" t="str">
        <f>IF(H72="","",VLOOKUP(A72,'6.A'!$A$11:$E$743,4,FALSE))</f>
        <v/>
      </c>
      <c r="K72" s="244" t="str">
        <f t="shared" si="14"/>
        <v/>
      </c>
      <c r="L72" s="244" t="str">
        <f>IF(H72="","",IF(C72="","",G64*C72))</f>
        <v/>
      </c>
      <c r="M72" s="328" t="str">
        <f>IF(A72="","",VLOOKUP(A72,'6.A'!$A$11:$C$743,2,FALSE))</f>
        <v/>
      </c>
      <c r="N72" s="274" t="str">
        <f t="shared" si="15"/>
        <v/>
      </c>
      <c r="O72" s="273"/>
      <c r="P72" s="273"/>
      <c r="Q72" s="243"/>
      <c r="R72" s="243"/>
      <c r="S72" s="291"/>
      <c r="T72" s="276"/>
      <c r="U72" s="276"/>
      <c r="V72" s="276"/>
    </row>
    <row r="73" spans="1:22" s="304" customFormat="1" ht="12.75" customHeight="1" x14ac:dyDescent="0.2">
      <c r="A73" s="323"/>
      <c r="B73" s="324"/>
      <c r="C73" s="37"/>
      <c r="D73" s="297"/>
      <c r="E73" s="326"/>
      <c r="F73" s="327">
        <f t="shared" si="12"/>
        <v>0</v>
      </c>
      <c r="G73" s="244"/>
      <c r="H73" s="244" t="str">
        <f>IF(A73="","",VLOOKUP(A73,'6.A'!$A$11:$E$8163,5,FALSE))</f>
        <v/>
      </c>
      <c r="I73" s="244" t="str">
        <f t="shared" si="13"/>
        <v/>
      </c>
      <c r="J73" s="244" t="str">
        <f>IF(H73="","",VLOOKUP(A73,'6.A'!$A$11:$E$743,4,FALSE))</f>
        <v/>
      </c>
      <c r="K73" s="244" t="str">
        <f t="shared" si="14"/>
        <v/>
      </c>
      <c r="L73" s="244" t="str">
        <f>IF(H73="","",IF(C73="","",G64*C73))</f>
        <v/>
      </c>
      <c r="M73" s="328" t="str">
        <f>IF(A73="","",VLOOKUP(A73,'6.A'!$A$11:$C$743,2,FALSE))</f>
        <v/>
      </c>
      <c r="N73" s="274" t="str">
        <f t="shared" si="15"/>
        <v/>
      </c>
      <c r="O73" s="273"/>
      <c r="P73" s="273"/>
      <c r="Q73" s="243"/>
      <c r="R73" s="243"/>
      <c r="S73" s="291"/>
      <c r="T73" s="276"/>
      <c r="U73" s="276"/>
      <c r="V73" s="276"/>
    </row>
    <row r="74" spans="1:22" s="304" customFormat="1" ht="12.75" customHeight="1" x14ac:dyDescent="0.2">
      <c r="A74" s="323"/>
      <c r="B74" s="324"/>
      <c r="C74" s="37"/>
      <c r="D74" s="297"/>
      <c r="E74" s="326"/>
      <c r="F74" s="327">
        <f t="shared" si="12"/>
        <v>0</v>
      </c>
      <c r="G74" s="244"/>
      <c r="H74" s="244" t="str">
        <f>IF(A74="","",VLOOKUP(A74,'6.A'!$A$11:$E$8163,5,FALSE))</f>
        <v/>
      </c>
      <c r="I74" s="244" t="str">
        <f t="shared" si="13"/>
        <v/>
      </c>
      <c r="J74" s="244" t="str">
        <f>IF(H74="","",VLOOKUP(A74,'6.A'!$A$11:$E$743,4,FALSE))</f>
        <v/>
      </c>
      <c r="K74" s="244" t="str">
        <f t="shared" si="14"/>
        <v/>
      </c>
      <c r="L74" s="244" t="str">
        <f>IF(H74="","",IF(C74="","",G64*C74))</f>
        <v/>
      </c>
      <c r="M74" s="328" t="str">
        <f>IF(A74="","",VLOOKUP(A74,'6.A'!$A$11:$C$743,2,FALSE))</f>
        <v/>
      </c>
      <c r="N74" s="274" t="str">
        <f t="shared" si="15"/>
        <v/>
      </c>
      <c r="O74" s="273"/>
      <c r="P74" s="273"/>
      <c r="Q74" s="243"/>
      <c r="R74" s="243"/>
      <c r="S74" s="291"/>
      <c r="T74" s="276"/>
      <c r="U74" s="276"/>
      <c r="V74" s="276"/>
    </row>
    <row r="75" spans="1:22" s="304" customFormat="1" ht="12.75" customHeight="1" x14ac:dyDescent="0.2">
      <c r="A75" s="323"/>
      <c r="B75" s="324"/>
      <c r="C75" s="37"/>
      <c r="D75" s="330"/>
      <c r="E75" s="326"/>
      <c r="F75" s="327">
        <f t="shared" si="12"/>
        <v>0</v>
      </c>
      <c r="G75" s="244"/>
      <c r="H75" s="244" t="str">
        <f>IF(A75="","",VLOOKUP(A75,'6.A'!$A$11:$E$8163,5,FALSE))</f>
        <v/>
      </c>
      <c r="I75" s="244" t="str">
        <f t="shared" si="13"/>
        <v/>
      </c>
      <c r="J75" s="244" t="str">
        <f>IF(H75="","",VLOOKUP(A75,'6.A'!$A$11:$E$743,4,FALSE))</f>
        <v/>
      </c>
      <c r="K75" s="244" t="str">
        <f t="shared" si="14"/>
        <v/>
      </c>
      <c r="L75" s="244" t="str">
        <f>IF(H75="","",IF(C75="","",G64*C75))</f>
        <v/>
      </c>
      <c r="M75" s="328" t="str">
        <f>IF(A75="","",VLOOKUP(A75,'6.A'!$A$11:$C$743,2,FALSE))</f>
        <v/>
      </c>
      <c r="N75" s="274" t="str">
        <f t="shared" si="15"/>
        <v/>
      </c>
      <c r="O75" s="273"/>
      <c r="P75" s="273"/>
      <c r="Q75" s="243"/>
      <c r="R75" s="243"/>
      <c r="S75" s="291"/>
      <c r="T75" s="276"/>
      <c r="U75" s="276"/>
      <c r="V75" s="276"/>
    </row>
    <row r="76" spans="1:22" s="304" customFormat="1" ht="12.75" customHeight="1" x14ac:dyDescent="0.2">
      <c r="A76" s="317"/>
      <c r="B76" s="331" t="str">
        <f>$A$8</f>
        <v>LEIS SOCIAIS HORISTA - JORNADA NORMAL</v>
      </c>
      <c r="C76" s="3">
        <f>$C$8</f>
        <v>0</v>
      </c>
      <c r="D76" s="297"/>
      <c r="E76" s="298"/>
      <c r="F76" s="332">
        <f>ROUND(SUM(F66:F75)*C76,2)</f>
        <v>0</v>
      </c>
      <c r="G76" s="333"/>
      <c r="H76" s="244"/>
      <c r="I76" s="274"/>
      <c r="J76" s="274"/>
      <c r="K76" s="274"/>
      <c r="L76" s="244"/>
      <c r="M76" s="334"/>
      <c r="N76" s="274"/>
      <c r="O76" s="273"/>
      <c r="P76" s="273"/>
      <c r="Q76" s="243"/>
      <c r="R76" s="243"/>
      <c r="S76" s="291"/>
      <c r="T76" s="276"/>
      <c r="U76" s="276"/>
      <c r="V76" s="276"/>
    </row>
    <row r="77" spans="1:22" s="304" customFormat="1" ht="12.75" customHeight="1" x14ac:dyDescent="0.2">
      <c r="A77" s="323"/>
      <c r="B77" s="331" t="str">
        <f>$A$9</f>
        <v>BDI - M.O / SERV. / MAT. COMUNS</v>
      </c>
      <c r="C77" s="3">
        <f>$C$9</f>
        <v>0</v>
      </c>
      <c r="D77" s="335"/>
      <c r="E77" s="298"/>
      <c r="F77" s="332">
        <f>ROUND(SUM(F66:F76)*C77,2)</f>
        <v>0</v>
      </c>
      <c r="G77" s="333"/>
      <c r="H77" s="244"/>
      <c r="I77" s="274"/>
      <c r="J77" s="274"/>
      <c r="K77" s="274"/>
      <c r="L77" s="244"/>
      <c r="M77" s="334"/>
      <c r="N77" s="274"/>
      <c r="O77" s="273"/>
      <c r="P77" s="273"/>
      <c r="Q77" s="243"/>
      <c r="R77" s="243"/>
      <c r="S77" s="291"/>
      <c r="T77" s="276"/>
      <c r="U77" s="276"/>
      <c r="V77" s="276"/>
    </row>
    <row r="78" spans="1:22" s="304" customFormat="1" ht="12.75" customHeight="1" x14ac:dyDescent="0.2">
      <c r="A78" s="336"/>
      <c r="B78" s="337" t="s">
        <v>52</v>
      </c>
      <c r="C78" s="338"/>
      <c r="D78" s="339"/>
      <c r="E78" s="340"/>
      <c r="F78" s="341">
        <f>ROUND(SUM(F66:F77),2)</f>
        <v>0</v>
      </c>
      <c r="G78" s="333"/>
      <c r="H78" s="244"/>
      <c r="I78" s="274"/>
      <c r="J78" s="274"/>
      <c r="K78" s="274"/>
      <c r="L78" s="244"/>
      <c r="M78" s="334"/>
      <c r="N78" s="274"/>
      <c r="O78" s="273"/>
      <c r="P78" s="273"/>
      <c r="Q78" s="243"/>
      <c r="R78" s="243"/>
      <c r="S78" s="291"/>
      <c r="T78" s="276"/>
      <c r="U78" s="276"/>
      <c r="V78" s="276"/>
    </row>
    <row r="79" spans="1:22" s="304" customFormat="1" ht="12.75" customHeight="1" x14ac:dyDescent="0.2">
      <c r="A79" s="317" t="s">
        <v>4</v>
      </c>
      <c r="B79" s="318" t="s">
        <v>117</v>
      </c>
      <c r="C79" s="319" t="s">
        <v>55</v>
      </c>
      <c r="D79" s="319" t="s">
        <v>19</v>
      </c>
      <c r="E79" s="320" t="s">
        <v>56</v>
      </c>
      <c r="F79" s="321" t="s">
        <v>57</v>
      </c>
      <c r="G79" s="322"/>
      <c r="H79" s="244"/>
      <c r="I79" s="274"/>
      <c r="J79" s="274"/>
      <c r="K79" s="274"/>
      <c r="L79" s="244"/>
      <c r="M79" s="334"/>
      <c r="N79" s="274"/>
      <c r="O79" s="273"/>
      <c r="P79" s="273"/>
      <c r="Q79" s="243"/>
      <c r="R79" s="243"/>
      <c r="S79" s="291"/>
      <c r="T79" s="276"/>
      <c r="U79" s="276"/>
      <c r="V79" s="276"/>
    </row>
    <row r="80" spans="1:22" s="304" customFormat="1" ht="12.75" customHeight="1" x14ac:dyDescent="0.2">
      <c r="A80" s="323">
        <f>'6.A'!$A$15</f>
        <v>70110155</v>
      </c>
      <c r="B80" s="324" t="str">
        <f>'6.A'!$B$15</f>
        <v>GUARDA CORPO RETO FIBRA DE VIDRO ( PRFV) TIPO 1 NTS282-2020</v>
      </c>
      <c r="C80" s="37">
        <v>1</v>
      </c>
      <c r="D80" s="297" t="str">
        <f>'6.A'!$D$15</f>
        <v>M</v>
      </c>
      <c r="E80" s="329">
        <f>'6.A'!$E$15</f>
        <v>0</v>
      </c>
      <c r="F80" s="327">
        <f t="shared" ref="F80:F89" si="16">ROUND(C80*E80,2)</f>
        <v>0</v>
      </c>
      <c r="G80" s="244"/>
      <c r="H80" s="244">
        <f>IF(A80="","",VLOOKUP(A80,'6.A'!$A$11:$E$8163,5,FALSE))</f>
        <v>0</v>
      </c>
      <c r="I80" s="244" t="str">
        <f t="shared" ref="I80:I89" si="17">IF(H80="","",IF(E80=H80,"SIM","NÃO"))</f>
        <v>SIM</v>
      </c>
      <c r="J80" s="244" t="str">
        <f>IF(H80="","",VLOOKUP(A80,'6.A'!$A$11:$E$743,4,FALSE))</f>
        <v>M</v>
      </c>
      <c r="K80" s="244" t="str">
        <f t="shared" ref="K80:K89" si="18">IF(H80="","",IF(J80=D80,"SIM","NÃO"))</f>
        <v>SIM</v>
      </c>
      <c r="L80" s="244">
        <f>IF(H80="","",IF(C80="","",G64*C80))</f>
        <v>1006</v>
      </c>
      <c r="M80" s="328" t="str">
        <f>IF(A80="","",VLOOKUP(A80,'6.A'!$A$11:$C$743,2,FALSE))</f>
        <v>GUARDA CORPO RETO FIBRA DE VIDRO ( PRFV) TIPO 1 NTS282-2020</v>
      </c>
      <c r="N80" s="274" t="str">
        <f t="shared" ref="N80:N89" si="19">IF(A80="","",IF(M80=B80,"si","no"))</f>
        <v>si</v>
      </c>
      <c r="O80" s="273"/>
      <c r="P80" s="273"/>
      <c r="Q80" s="243"/>
      <c r="R80" s="243"/>
      <c r="S80" s="291"/>
      <c r="T80" s="276"/>
      <c r="U80" s="276"/>
      <c r="V80" s="276"/>
    </row>
    <row r="81" spans="1:22" s="304" customFormat="1" ht="12.75" customHeight="1" x14ac:dyDescent="0.2">
      <c r="A81" s="323"/>
      <c r="B81" s="324"/>
      <c r="C81" s="37"/>
      <c r="D81" s="297"/>
      <c r="E81" s="329"/>
      <c r="F81" s="327">
        <f t="shared" si="16"/>
        <v>0</v>
      </c>
      <c r="G81" s="244"/>
      <c r="H81" s="244" t="str">
        <f>IF(A81="","",VLOOKUP(A81,'6.A'!$A$11:$E$8163,5,FALSE))</f>
        <v/>
      </c>
      <c r="I81" s="244" t="str">
        <f t="shared" si="17"/>
        <v/>
      </c>
      <c r="J81" s="244" t="str">
        <f>IF(H81="","",VLOOKUP(A81,'6.A'!$A$11:$E$743,4,FALSE))</f>
        <v/>
      </c>
      <c r="K81" s="244" t="str">
        <f t="shared" si="18"/>
        <v/>
      </c>
      <c r="L81" s="244" t="str">
        <f>IF(H81="","",IF(C81="","",G64*C81))</f>
        <v/>
      </c>
      <c r="M81" s="328" t="str">
        <f>IF(A81="","",VLOOKUP(A81,'6.A'!$A$11:$C$743,2,FALSE))</f>
        <v/>
      </c>
      <c r="N81" s="274" t="str">
        <f t="shared" si="19"/>
        <v/>
      </c>
      <c r="O81" s="273"/>
      <c r="P81" s="273"/>
      <c r="Q81" s="243"/>
      <c r="R81" s="243"/>
      <c r="S81" s="291"/>
      <c r="T81" s="276"/>
      <c r="U81" s="276"/>
      <c r="V81" s="276"/>
    </row>
    <row r="82" spans="1:22" s="304" customFormat="1" ht="12.75" customHeight="1" x14ac:dyDescent="0.2">
      <c r="A82" s="323"/>
      <c r="B82" s="324"/>
      <c r="C82" s="37"/>
      <c r="D82" s="297"/>
      <c r="E82" s="329"/>
      <c r="F82" s="327">
        <f t="shared" si="16"/>
        <v>0</v>
      </c>
      <c r="G82" s="244"/>
      <c r="H82" s="244" t="str">
        <f>IF(A82="","",VLOOKUP(A82,'6.A'!$A$11:$E$8163,5,FALSE))</f>
        <v/>
      </c>
      <c r="I82" s="244" t="str">
        <f t="shared" si="17"/>
        <v/>
      </c>
      <c r="J82" s="244" t="str">
        <f>IF(H82="","",VLOOKUP(A82,'6.A'!$A$11:$E$743,4,FALSE))</f>
        <v/>
      </c>
      <c r="K82" s="244" t="str">
        <f t="shared" si="18"/>
        <v/>
      </c>
      <c r="L82" s="244" t="str">
        <f>IF(H82="","",IF(C82="","",G64*C82))</f>
        <v/>
      </c>
      <c r="M82" s="328" t="str">
        <f>IF(A82="","",VLOOKUP(A82,'6.A'!$A$11:$C$743,2,FALSE))</f>
        <v/>
      </c>
      <c r="N82" s="274" t="str">
        <f t="shared" si="19"/>
        <v/>
      </c>
      <c r="O82" s="273"/>
      <c r="P82" s="273"/>
      <c r="Q82" s="243"/>
      <c r="R82" s="243"/>
      <c r="S82" s="291"/>
      <c r="T82" s="276"/>
      <c r="U82" s="276"/>
      <c r="V82" s="276"/>
    </row>
    <row r="83" spans="1:22" s="304" customFormat="1" ht="12.75" customHeight="1" x14ac:dyDescent="0.2">
      <c r="A83" s="323"/>
      <c r="B83" s="324"/>
      <c r="C83" s="37"/>
      <c r="D83" s="297"/>
      <c r="E83" s="329"/>
      <c r="F83" s="327">
        <f t="shared" si="16"/>
        <v>0</v>
      </c>
      <c r="G83" s="244"/>
      <c r="H83" s="244" t="str">
        <f>IF(A83="","",VLOOKUP(A83,'6.A'!$A$11:$E$8163,5,FALSE))</f>
        <v/>
      </c>
      <c r="I83" s="244" t="str">
        <f t="shared" si="17"/>
        <v/>
      </c>
      <c r="J83" s="244" t="str">
        <f>IF(H83="","",VLOOKUP(A83,'6.A'!$A$11:$E$743,4,FALSE))</f>
        <v/>
      </c>
      <c r="K83" s="244" t="str">
        <f t="shared" si="18"/>
        <v/>
      </c>
      <c r="L83" s="244" t="str">
        <f>IF(H83="","",IF(C83="","",G64*C83))</f>
        <v/>
      </c>
      <c r="M83" s="328" t="str">
        <f>IF(A83="","",VLOOKUP(A83,'6.A'!$A$11:$C$743,2,FALSE))</f>
        <v/>
      </c>
      <c r="N83" s="274" t="str">
        <f t="shared" si="19"/>
        <v/>
      </c>
      <c r="O83" s="273"/>
      <c r="P83" s="273"/>
      <c r="Q83" s="243"/>
      <c r="R83" s="243"/>
      <c r="S83" s="291"/>
      <c r="T83" s="276"/>
      <c r="U83" s="276"/>
      <c r="V83" s="276"/>
    </row>
    <row r="84" spans="1:22" s="304" customFormat="1" ht="12.75" customHeight="1" x14ac:dyDescent="0.2">
      <c r="A84" s="323"/>
      <c r="B84" s="324"/>
      <c r="C84" s="37"/>
      <c r="D84" s="297"/>
      <c r="E84" s="329"/>
      <c r="F84" s="327">
        <f t="shared" si="16"/>
        <v>0</v>
      </c>
      <c r="G84" s="244"/>
      <c r="H84" s="244" t="str">
        <f>IF(A84="","",VLOOKUP(A84,'6.A'!$A$11:$E$8163,5,FALSE))</f>
        <v/>
      </c>
      <c r="I84" s="244" t="str">
        <f t="shared" si="17"/>
        <v/>
      </c>
      <c r="J84" s="244" t="str">
        <f>IF(H84="","",VLOOKUP(A84,'6.A'!$A$11:$E$743,4,FALSE))</f>
        <v/>
      </c>
      <c r="K84" s="244" t="str">
        <f t="shared" si="18"/>
        <v/>
      </c>
      <c r="L84" s="244" t="str">
        <f>IF(H84="","",IF(C84="","",G64*C84))</f>
        <v/>
      </c>
      <c r="M84" s="328" t="str">
        <f>IF(A84="","",VLOOKUP(A84,'6.A'!$A$11:$C$743,2,FALSE))</f>
        <v/>
      </c>
      <c r="N84" s="274" t="str">
        <f t="shared" si="19"/>
        <v/>
      </c>
      <c r="O84" s="273"/>
      <c r="P84" s="273"/>
      <c r="Q84" s="243"/>
      <c r="R84" s="243"/>
      <c r="S84" s="291"/>
      <c r="T84" s="276"/>
      <c r="U84" s="276"/>
      <c r="V84" s="276"/>
    </row>
    <row r="85" spans="1:22" s="304" customFormat="1" ht="12.75" customHeight="1" x14ac:dyDescent="0.2">
      <c r="A85" s="323"/>
      <c r="B85" s="324"/>
      <c r="C85" s="37"/>
      <c r="D85" s="297"/>
      <c r="E85" s="329"/>
      <c r="F85" s="327">
        <f t="shared" si="16"/>
        <v>0</v>
      </c>
      <c r="G85" s="244"/>
      <c r="H85" s="244" t="str">
        <f>IF(A85="","",VLOOKUP(A85,'6.A'!$A$11:$E$8163,5,FALSE))</f>
        <v/>
      </c>
      <c r="I85" s="244" t="str">
        <f t="shared" si="17"/>
        <v/>
      </c>
      <c r="J85" s="244" t="str">
        <f>IF(H85="","",VLOOKUP(A85,'6.A'!$A$11:$E$743,4,FALSE))</f>
        <v/>
      </c>
      <c r="K85" s="244" t="str">
        <f t="shared" si="18"/>
        <v/>
      </c>
      <c r="L85" s="244" t="str">
        <f>IF(H85="","",IF(C85="","",G64*C85))</f>
        <v/>
      </c>
      <c r="M85" s="328" t="str">
        <f>IF(A85="","",VLOOKUP(A85,'6.A'!$A$11:$C$743,2,FALSE))</f>
        <v/>
      </c>
      <c r="N85" s="274" t="str">
        <f t="shared" si="19"/>
        <v/>
      </c>
      <c r="O85" s="273"/>
      <c r="P85" s="273"/>
      <c r="Q85" s="243"/>
      <c r="R85" s="243"/>
      <c r="S85" s="291"/>
      <c r="T85" s="276"/>
      <c r="U85" s="276"/>
      <c r="V85" s="276"/>
    </row>
    <row r="86" spans="1:22" s="304" customFormat="1" ht="12.75" customHeight="1" x14ac:dyDescent="0.2">
      <c r="A86" s="323"/>
      <c r="B86" s="324"/>
      <c r="C86" s="37"/>
      <c r="D86" s="297"/>
      <c r="E86" s="329"/>
      <c r="F86" s="327">
        <f>ROUND(C86*E86,2)</f>
        <v>0</v>
      </c>
      <c r="G86" s="244"/>
      <c r="H86" s="244" t="str">
        <f>IF(A86="","",VLOOKUP(A86,'6.A'!$A$11:$E$8163,5,FALSE))</f>
        <v/>
      </c>
      <c r="I86" s="244" t="str">
        <f t="shared" si="17"/>
        <v/>
      </c>
      <c r="J86" s="244" t="str">
        <f>IF(H86="","",VLOOKUP(A86,'6.A'!$A$11:$E$743,4,FALSE))</f>
        <v/>
      </c>
      <c r="K86" s="244" t="str">
        <f t="shared" si="18"/>
        <v/>
      </c>
      <c r="L86" s="244" t="str">
        <f>IF(H86="","",IF(C86="","",G64*C86))</f>
        <v/>
      </c>
      <c r="M86" s="328" t="str">
        <f>IF(A86="","",VLOOKUP(A86,'6.A'!$A$11:$C$743,2,FALSE))</f>
        <v/>
      </c>
      <c r="N86" s="274" t="str">
        <f t="shared" si="19"/>
        <v/>
      </c>
      <c r="O86" s="273"/>
      <c r="P86" s="273"/>
      <c r="Q86" s="243"/>
      <c r="R86" s="243"/>
      <c r="S86" s="291"/>
      <c r="T86" s="276"/>
      <c r="U86" s="276"/>
      <c r="V86" s="276"/>
    </row>
    <row r="87" spans="1:22" s="304" customFormat="1" ht="12.75" customHeight="1" x14ac:dyDescent="0.2">
      <c r="A87" s="323"/>
      <c r="B87" s="324"/>
      <c r="C87" s="37"/>
      <c r="D87" s="297"/>
      <c r="E87" s="329"/>
      <c r="F87" s="327">
        <f>ROUND(C87*E87,2)</f>
        <v>0</v>
      </c>
      <c r="G87" s="244"/>
      <c r="H87" s="244" t="str">
        <f>IF(A87="","",VLOOKUP(A87,'6.A'!$A$11:$E$8163,5,FALSE))</f>
        <v/>
      </c>
      <c r="I87" s="244" t="str">
        <f t="shared" si="17"/>
        <v/>
      </c>
      <c r="J87" s="244" t="str">
        <f>IF(H87="","",VLOOKUP(A87,'6.A'!$A$11:$E$743,4,FALSE))</f>
        <v/>
      </c>
      <c r="K87" s="244" t="str">
        <f t="shared" si="18"/>
        <v/>
      </c>
      <c r="L87" s="244" t="str">
        <f>IF(H87="","",IF(C87="","",G64*C87))</f>
        <v/>
      </c>
      <c r="M87" s="328" t="str">
        <f>IF(A87="","",VLOOKUP(A87,'6.A'!$A$11:$C$743,2,FALSE))</f>
        <v/>
      </c>
      <c r="N87" s="274" t="str">
        <f t="shared" si="19"/>
        <v/>
      </c>
      <c r="O87" s="273"/>
      <c r="P87" s="273"/>
      <c r="Q87" s="243"/>
      <c r="R87" s="243"/>
      <c r="S87" s="291"/>
      <c r="T87" s="276"/>
      <c r="U87" s="276"/>
      <c r="V87" s="276"/>
    </row>
    <row r="88" spans="1:22" s="304" customFormat="1" ht="12.75" customHeight="1" x14ac:dyDescent="0.2">
      <c r="A88" s="342"/>
      <c r="B88" s="343"/>
      <c r="C88" s="23"/>
      <c r="D88" s="297"/>
      <c r="E88" s="344"/>
      <c r="F88" s="327">
        <f t="shared" si="16"/>
        <v>0</v>
      </c>
      <c r="G88" s="244"/>
      <c r="H88" s="244" t="str">
        <f>IF(A88="","",VLOOKUP(A88,'6.A'!$A$11:$E$8163,5,FALSE))</f>
        <v/>
      </c>
      <c r="I88" s="244" t="str">
        <f t="shared" si="17"/>
        <v/>
      </c>
      <c r="J88" s="244" t="str">
        <f>IF(H88="","",VLOOKUP(A88,'6.A'!$A$11:$E$743,4,FALSE))</f>
        <v/>
      </c>
      <c r="K88" s="244" t="str">
        <f t="shared" si="18"/>
        <v/>
      </c>
      <c r="L88" s="244" t="str">
        <f>IF(H88="","",IF(C88="","",G64*C88))</f>
        <v/>
      </c>
      <c r="M88" s="328" t="str">
        <f>IF(A88="","",VLOOKUP(A88,'6.A'!$A$11:$C$743,2,FALSE))</f>
        <v/>
      </c>
      <c r="N88" s="274" t="str">
        <f t="shared" si="19"/>
        <v/>
      </c>
      <c r="O88" s="273"/>
      <c r="P88" s="273"/>
      <c r="Q88" s="243"/>
      <c r="R88" s="243"/>
      <c r="S88" s="291"/>
      <c r="T88" s="276"/>
      <c r="U88" s="276"/>
      <c r="V88" s="276"/>
    </row>
    <row r="89" spans="1:22" s="304" customFormat="1" ht="12.75" customHeight="1" x14ac:dyDescent="0.2">
      <c r="A89" s="323"/>
      <c r="B89" s="324"/>
      <c r="C89" s="37"/>
      <c r="D89" s="297"/>
      <c r="E89" s="329"/>
      <c r="F89" s="327">
        <f t="shared" si="16"/>
        <v>0</v>
      </c>
      <c r="G89" s="244"/>
      <c r="H89" s="244" t="str">
        <f>IF(A89="","",VLOOKUP(A89,'6.A'!$A$11:$E$8163,5,FALSE))</f>
        <v/>
      </c>
      <c r="I89" s="244" t="str">
        <f t="shared" si="17"/>
        <v/>
      </c>
      <c r="J89" s="244" t="str">
        <f>IF(H89="","",VLOOKUP(A89,'6.A'!$A$11:$E$743,4,FALSE))</f>
        <v/>
      </c>
      <c r="K89" s="244" t="str">
        <f t="shared" si="18"/>
        <v/>
      </c>
      <c r="L89" s="244" t="str">
        <f>IF(H89="","",IF(C89="","",G64*C89))</f>
        <v/>
      </c>
      <c r="M89" s="328" t="str">
        <f>IF(A89="","",VLOOKUP(A89,'6.A'!$A$11:$C$743,2,FALSE))</f>
        <v/>
      </c>
      <c r="N89" s="274" t="str">
        <f t="shared" si="19"/>
        <v/>
      </c>
      <c r="O89" s="273"/>
      <c r="P89" s="273"/>
      <c r="Q89" s="243"/>
      <c r="R89" s="243"/>
      <c r="S89" s="291"/>
      <c r="T89" s="276"/>
      <c r="U89" s="276"/>
      <c r="V89" s="276"/>
    </row>
    <row r="90" spans="1:22" s="304" customFormat="1" ht="12.75" customHeight="1" x14ac:dyDescent="0.2">
      <c r="A90" s="323"/>
      <c r="B90" s="331" t="str">
        <f>$A$9</f>
        <v>BDI - M.O / SERV. / MAT. COMUNS</v>
      </c>
      <c r="C90" s="3">
        <f>$C$9</f>
        <v>0</v>
      </c>
      <c r="D90" s="297"/>
      <c r="E90" s="298"/>
      <c r="F90" s="332">
        <f>ROUND(SUM(F80:F89)*C90,2)</f>
        <v>0</v>
      </c>
      <c r="G90" s="333"/>
      <c r="H90" s="244"/>
      <c r="I90" s="274"/>
      <c r="J90" s="274"/>
      <c r="K90" s="274"/>
      <c r="L90" s="244"/>
      <c r="M90" s="334"/>
      <c r="N90" s="274"/>
      <c r="O90" s="273"/>
      <c r="P90" s="273"/>
      <c r="Q90" s="243"/>
      <c r="R90" s="243"/>
      <c r="S90" s="291"/>
      <c r="T90" s="276"/>
      <c r="U90" s="276"/>
      <c r="V90" s="276"/>
    </row>
    <row r="91" spans="1:22" s="304" customFormat="1" ht="12.75" customHeight="1" x14ac:dyDescent="0.2">
      <c r="A91" s="336"/>
      <c r="B91" s="345" t="s">
        <v>108</v>
      </c>
      <c r="C91" s="346"/>
      <c r="D91" s="347"/>
      <c r="E91" s="348"/>
      <c r="F91" s="341">
        <f>ROUND(SUM(F80:F90),2)</f>
        <v>0</v>
      </c>
      <c r="G91" s="333"/>
      <c r="H91" s="244"/>
      <c r="I91" s="274"/>
      <c r="J91" s="274"/>
      <c r="K91" s="274"/>
      <c r="L91" s="244"/>
      <c r="M91" s="334"/>
      <c r="N91" s="274"/>
      <c r="O91" s="273"/>
      <c r="P91" s="273"/>
      <c r="Q91" s="243"/>
      <c r="R91" s="243"/>
      <c r="S91" s="291"/>
      <c r="T91" s="276"/>
      <c r="U91" s="276"/>
      <c r="V91" s="276"/>
    </row>
    <row r="92" spans="1:22" s="304" customFormat="1" ht="12.75" customHeight="1" x14ac:dyDescent="0.2">
      <c r="A92" s="317" t="s">
        <v>6</v>
      </c>
      <c r="B92" s="318" t="s">
        <v>20</v>
      </c>
      <c r="C92" s="319" t="s">
        <v>55</v>
      </c>
      <c r="D92" s="319" t="s">
        <v>19</v>
      </c>
      <c r="E92" s="320" t="s">
        <v>56</v>
      </c>
      <c r="F92" s="321" t="s">
        <v>57</v>
      </c>
      <c r="G92" s="322"/>
      <c r="H92" s="244"/>
      <c r="I92" s="274"/>
      <c r="J92" s="274"/>
      <c r="K92" s="274"/>
      <c r="L92" s="244"/>
      <c r="M92" s="334"/>
      <c r="N92" s="274"/>
      <c r="O92" s="273"/>
      <c r="P92" s="273"/>
      <c r="Q92" s="243"/>
      <c r="R92" s="243"/>
      <c r="S92" s="291"/>
      <c r="T92" s="276"/>
      <c r="U92" s="276"/>
      <c r="V92" s="276"/>
    </row>
    <row r="93" spans="1:22" s="304" customFormat="1" ht="12.75" customHeight="1" x14ac:dyDescent="0.2">
      <c r="A93" s="323"/>
      <c r="B93" s="324"/>
      <c r="C93" s="37"/>
      <c r="D93" s="297"/>
      <c r="E93" s="329"/>
      <c r="F93" s="327">
        <f t="shared" ref="F93:F112" si="20">ROUND(C93*E93,2)</f>
        <v>0</v>
      </c>
      <c r="G93" s="244"/>
      <c r="H93" s="244" t="str">
        <f>IF(A93="","",VLOOKUP(A93,'6.A'!$A$11:$E$8163,5,FALSE))</f>
        <v/>
      </c>
      <c r="I93" s="244" t="str">
        <f t="shared" ref="I93:I112" si="21">IF(H93="","",IF(E93=H93,"SIM","NÃO"))</f>
        <v/>
      </c>
      <c r="J93" s="244" t="str">
        <f>IF(H93="","",VLOOKUP(A93,'6.A'!$A$11:$E$743,4,FALSE))</f>
        <v/>
      </c>
      <c r="K93" s="244" t="str">
        <f t="shared" ref="K93:K112" si="22">IF(H93="","",IF(J93=D93,"SIM","NÃO"))</f>
        <v/>
      </c>
      <c r="L93" s="244" t="str">
        <f>IF(H93="","",IF(C93="","",G64*C93))</f>
        <v/>
      </c>
      <c r="M93" s="328" t="str">
        <f>IF(A93="","",VLOOKUP(A93,'6.A'!$A$11:$C$743,2,FALSE))</f>
        <v/>
      </c>
      <c r="N93" s="274" t="str">
        <f t="shared" ref="N93:N112" si="23">IF(A93="","",IF(M93=B93,"si","no"))</f>
        <v/>
      </c>
      <c r="O93" s="273"/>
      <c r="P93" s="273"/>
      <c r="Q93" s="243"/>
      <c r="R93" s="243"/>
      <c r="S93" s="291"/>
      <c r="T93" s="276"/>
      <c r="U93" s="276"/>
      <c r="V93" s="276"/>
    </row>
    <row r="94" spans="1:22" s="304" customFormat="1" ht="12.75" customHeight="1" x14ac:dyDescent="0.2">
      <c r="A94" s="323"/>
      <c r="B94" s="324"/>
      <c r="C94" s="37"/>
      <c r="D94" s="297"/>
      <c r="E94" s="329"/>
      <c r="F94" s="327">
        <f t="shared" si="20"/>
        <v>0</v>
      </c>
      <c r="G94" s="244"/>
      <c r="H94" s="244" t="str">
        <f>IF(A94="","",VLOOKUP(A94,'6.A'!$A$11:$E$8163,5,FALSE))</f>
        <v/>
      </c>
      <c r="I94" s="244" t="str">
        <f t="shared" si="21"/>
        <v/>
      </c>
      <c r="J94" s="244" t="str">
        <f>IF(H94="","",VLOOKUP(A94,'6.A'!$A$11:$E$743,4,FALSE))</f>
        <v/>
      </c>
      <c r="K94" s="244" t="str">
        <f t="shared" si="22"/>
        <v/>
      </c>
      <c r="L94" s="244" t="str">
        <f>IF(H94="","",IF(C94="","",G64*C94))</f>
        <v/>
      </c>
      <c r="M94" s="328" t="str">
        <f>IF(A94="","",VLOOKUP(A94,'6.A'!$A$11:$C$743,2,FALSE))</f>
        <v/>
      </c>
      <c r="N94" s="274" t="str">
        <f t="shared" si="23"/>
        <v/>
      </c>
      <c r="O94" s="273"/>
      <c r="P94" s="273"/>
      <c r="Q94" s="243"/>
      <c r="R94" s="243"/>
      <c r="S94" s="291"/>
      <c r="T94" s="276"/>
      <c r="U94" s="276"/>
      <c r="V94" s="276"/>
    </row>
    <row r="95" spans="1:22" s="304" customFormat="1" ht="12.75" customHeight="1" x14ac:dyDescent="0.2">
      <c r="A95" s="323"/>
      <c r="B95" s="324"/>
      <c r="C95" s="37"/>
      <c r="D95" s="297"/>
      <c r="E95" s="329"/>
      <c r="F95" s="327">
        <f t="shared" si="20"/>
        <v>0</v>
      </c>
      <c r="G95" s="244"/>
      <c r="H95" s="244" t="str">
        <f>IF(A95="","",VLOOKUP(A95,'6.A'!$A$11:$E$8163,5,FALSE))</f>
        <v/>
      </c>
      <c r="I95" s="244" t="str">
        <f t="shared" si="21"/>
        <v/>
      </c>
      <c r="J95" s="244" t="str">
        <f>IF(H95="","",VLOOKUP(A95,'6.A'!$A$11:$E$743,4,FALSE))</f>
        <v/>
      </c>
      <c r="K95" s="244" t="str">
        <f t="shared" si="22"/>
        <v/>
      </c>
      <c r="L95" s="244" t="str">
        <f>IF(H95="","",IF(C95="","",G64*C95))</f>
        <v/>
      </c>
      <c r="M95" s="328" t="str">
        <f>IF(A95="","",VLOOKUP(A95,'6.A'!$A$11:$C$743,2,FALSE))</f>
        <v/>
      </c>
      <c r="N95" s="274" t="str">
        <f t="shared" si="23"/>
        <v/>
      </c>
      <c r="O95" s="273"/>
      <c r="P95" s="273"/>
      <c r="Q95" s="243"/>
      <c r="R95" s="243"/>
      <c r="S95" s="291"/>
      <c r="T95" s="276"/>
      <c r="U95" s="276"/>
      <c r="V95" s="276"/>
    </row>
    <row r="96" spans="1:22" s="304" customFormat="1" ht="12.75" customHeight="1" x14ac:dyDescent="0.2">
      <c r="A96" s="323"/>
      <c r="B96" s="324"/>
      <c r="C96" s="37"/>
      <c r="D96" s="297"/>
      <c r="E96" s="329"/>
      <c r="F96" s="327">
        <f t="shared" si="20"/>
        <v>0</v>
      </c>
      <c r="G96" s="244"/>
      <c r="H96" s="244" t="str">
        <f>IF(A96="","",VLOOKUP(A96,'6.A'!$A$11:$E$8163,5,FALSE))</f>
        <v/>
      </c>
      <c r="I96" s="244" t="str">
        <f t="shared" si="21"/>
        <v/>
      </c>
      <c r="J96" s="244" t="str">
        <f>IF(H96="","",VLOOKUP(A96,'6.A'!$A$11:$E$743,4,FALSE))</f>
        <v/>
      </c>
      <c r="K96" s="244" t="str">
        <f t="shared" si="22"/>
        <v/>
      </c>
      <c r="L96" s="244" t="str">
        <f>IF(H96="","",IF(C96="","",G64*C96))</f>
        <v/>
      </c>
      <c r="M96" s="328" t="str">
        <f>IF(A96="","",VLOOKUP(A96,'6.A'!$A$11:$C$743,2,FALSE))</f>
        <v/>
      </c>
      <c r="N96" s="274" t="str">
        <f t="shared" si="23"/>
        <v/>
      </c>
      <c r="O96" s="273"/>
      <c r="P96" s="273"/>
      <c r="Q96" s="243"/>
      <c r="R96" s="243"/>
      <c r="S96" s="291"/>
      <c r="T96" s="276"/>
      <c r="U96" s="276"/>
      <c r="V96" s="276"/>
    </row>
    <row r="97" spans="1:22" s="304" customFormat="1" ht="12.75" customHeight="1" x14ac:dyDescent="0.2">
      <c r="A97" s="323"/>
      <c r="B97" s="324"/>
      <c r="C97" s="37"/>
      <c r="D97" s="297"/>
      <c r="E97" s="329"/>
      <c r="F97" s="327">
        <f t="shared" si="20"/>
        <v>0</v>
      </c>
      <c r="G97" s="244"/>
      <c r="H97" s="244" t="str">
        <f>IF(A97="","",VLOOKUP(A97,'6.A'!$A$11:$E$8163,5,FALSE))</f>
        <v/>
      </c>
      <c r="I97" s="244" t="str">
        <f t="shared" si="21"/>
        <v/>
      </c>
      <c r="J97" s="244" t="str">
        <f>IF(H97="","",VLOOKUP(A97,'6.A'!$A$11:$E$743,4,FALSE))</f>
        <v/>
      </c>
      <c r="K97" s="244" t="str">
        <f t="shared" si="22"/>
        <v/>
      </c>
      <c r="L97" s="244" t="str">
        <f>IF(H97="","",IF(C97="","",G64*C97))</f>
        <v/>
      </c>
      <c r="M97" s="328" t="str">
        <f>IF(A97="","",VLOOKUP(A97,'6.A'!$A$11:$C$743,2,FALSE))</f>
        <v/>
      </c>
      <c r="N97" s="274" t="str">
        <f t="shared" si="23"/>
        <v/>
      </c>
      <c r="O97" s="273"/>
      <c r="P97" s="273"/>
      <c r="Q97" s="243"/>
      <c r="R97" s="243"/>
      <c r="S97" s="291"/>
      <c r="T97" s="276"/>
      <c r="U97" s="276"/>
      <c r="V97" s="276"/>
    </row>
    <row r="98" spans="1:22" s="304" customFormat="1" ht="12.75" customHeight="1" x14ac:dyDescent="0.2">
      <c r="A98" s="323"/>
      <c r="B98" s="324"/>
      <c r="C98" s="37"/>
      <c r="D98" s="297"/>
      <c r="E98" s="329"/>
      <c r="F98" s="327">
        <f t="shared" si="20"/>
        <v>0</v>
      </c>
      <c r="G98" s="244"/>
      <c r="H98" s="244" t="str">
        <f>IF(A98="","",VLOOKUP(A98,'6.A'!$A$11:$E$8163,5,FALSE))</f>
        <v/>
      </c>
      <c r="I98" s="244" t="str">
        <f t="shared" si="21"/>
        <v/>
      </c>
      <c r="J98" s="244" t="str">
        <f>IF(H98="","",VLOOKUP(A98,'6.A'!$A$11:$E$743,4,FALSE))</f>
        <v/>
      </c>
      <c r="K98" s="244" t="str">
        <f t="shared" si="22"/>
        <v/>
      </c>
      <c r="L98" s="244" t="str">
        <f>IF(H98="","",IF(C98="","",G64*C98))</f>
        <v/>
      </c>
      <c r="M98" s="328" t="str">
        <f>IF(A98="","",VLOOKUP(A98,'6.A'!$A$11:$C$743,2,FALSE))</f>
        <v/>
      </c>
      <c r="N98" s="274" t="str">
        <f t="shared" si="23"/>
        <v/>
      </c>
      <c r="O98" s="273"/>
      <c r="P98" s="273"/>
      <c r="Q98" s="243"/>
      <c r="R98" s="243"/>
      <c r="S98" s="291"/>
      <c r="T98" s="276"/>
      <c r="U98" s="276"/>
      <c r="V98" s="276"/>
    </row>
    <row r="99" spans="1:22" s="304" customFormat="1" ht="12.75" customHeight="1" x14ac:dyDescent="0.2">
      <c r="A99" s="323"/>
      <c r="B99" s="324"/>
      <c r="C99" s="37"/>
      <c r="D99" s="297"/>
      <c r="E99" s="329"/>
      <c r="F99" s="327">
        <f t="shared" si="20"/>
        <v>0</v>
      </c>
      <c r="G99" s="244"/>
      <c r="H99" s="244" t="str">
        <f>IF(A99="","",VLOOKUP(A99,'6.A'!$A$11:$E$8163,5,FALSE))</f>
        <v/>
      </c>
      <c r="I99" s="244" t="str">
        <f t="shared" si="21"/>
        <v/>
      </c>
      <c r="J99" s="244" t="str">
        <f>IF(H99="","",VLOOKUP(A99,'6.A'!$A$11:$E$743,4,FALSE))</f>
        <v/>
      </c>
      <c r="K99" s="244" t="str">
        <f t="shared" si="22"/>
        <v/>
      </c>
      <c r="L99" s="244" t="str">
        <f>IF(H99="","",IF(C99="","",G64*C99))</f>
        <v/>
      </c>
      <c r="M99" s="328" t="str">
        <f>IF(A99="","",VLOOKUP(A99,'6.A'!$A$11:$C$743,2,FALSE))</f>
        <v/>
      </c>
      <c r="N99" s="274" t="str">
        <f t="shared" si="23"/>
        <v/>
      </c>
      <c r="O99" s="273"/>
      <c r="P99" s="273"/>
      <c r="Q99" s="243"/>
      <c r="R99" s="243"/>
      <c r="S99" s="291"/>
      <c r="T99" s="276"/>
      <c r="U99" s="276"/>
      <c r="V99" s="276"/>
    </row>
    <row r="100" spans="1:22" s="304" customFormat="1" ht="12.75" customHeight="1" x14ac:dyDescent="0.2">
      <c r="A100" s="323"/>
      <c r="B100" s="324"/>
      <c r="C100" s="37"/>
      <c r="D100" s="297"/>
      <c r="E100" s="329"/>
      <c r="F100" s="327">
        <f t="shared" si="20"/>
        <v>0</v>
      </c>
      <c r="G100" s="244"/>
      <c r="H100" s="244" t="str">
        <f>IF(A100="","",VLOOKUP(A100,'6.A'!$A$11:$E$8163,5,FALSE))</f>
        <v/>
      </c>
      <c r="I100" s="244" t="str">
        <f t="shared" si="21"/>
        <v/>
      </c>
      <c r="J100" s="244" t="str">
        <f>IF(H100="","",VLOOKUP(A100,'6.A'!$A$11:$E$743,4,FALSE))</f>
        <v/>
      </c>
      <c r="K100" s="244" t="str">
        <f t="shared" si="22"/>
        <v/>
      </c>
      <c r="L100" s="244" t="str">
        <f>IF(H100="","",IF(C100="","",G64*C100))</f>
        <v/>
      </c>
      <c r="M100" s="328" t="str">
        <f>IF(A100="","",VLOOKUP(A100,'6.A'!$A$11:$C$743,2,FALSE))</f>
        <v/>
      </c>
      <c r="N100" s="274" t="str">
        <f t="shared" si="23"/>
        <v/>
      </c>
      <c r="O100" s="273"/>
      <c r="P100" s="273"/>
      <c r="Q100" s="243"/>
      <c r="R100" s="243"/>
      <c r="S100" s="291"/>
      <c r="T100" s="276"/>
      <c r="U100" s="276"/>
      <c r="V100" s="276"/>
    </row>
    <row r="101" spans="1:22" s="304" customFormat="1" ht="12.75" customHeight="1" x14ac:dyDescent="0.2">
      <c r="A101" s="323"/>
      <c r="B101" s="324"/>
      <c r="C101" s="37"/>
      <c r="D101" s="297"/>
      <c r="E101" s="329"/>
      <c r="F101" s="327">
        <f t="shared" si="20"/>
        <v>0</v>
      </c>
      <c r="G101" s="244"/>
      <c r="H101" s="244" t="str">
        <f>IF(A101="","",VLOOKUP(A101,'6.A'!$A$11:$E$8163,5,FALSE))</f>
        <v/>
      </c>
      <c r="I101" s="244" t="str">
        <f t="shared" si="21"/>
        <v/>
      </c>
      <c r="J101" s="244" t="str">
        <f>IF(H101="","",VLOOKUP(A101,'6.A'!$A$11:$E$743,4,FALSE))</f>
        <v/>
      </c>
      <c r="K101" s="244" t="str">
        <f t="shared" si="22"/>
        <v/>
      </c>
      <c r="L101" s="244" t="str">
        <f>IF(H101="","",IF(C101="","",G64*C101))</f>
        <v/>
      </c>
      <c r="M101" s="328" t="str">
        <f>IF(A101="","",VLOOKUP(A101,'6.A'!$A$11:$C$743,2,FALSE))</f>
        <v/>
      </c>
      <c r="N101" s="274" t="str">
        <f t="shared" si="23"/>
        <v/>
      </c>
      <c r="O101" s="273"/>
      <c r="P101" s="273"/>
      <c r="Q101" s="243"/>
      <c r="R101" s="243"/>
      <c r="S101" s="291"/>
      <c r="T101" s="276"/>
      <c r="U101" s="276"/>
      <c r="V101" s="276"/>
    </row>
    <row r="102" spans="1:22" s="304" customFormat="1" ht="12.75" customHeight="1" x14ac:dyDescent="0.2">
      <c r="A102" s="323"/>
      <c r="B102" s="324"/>
      <c r="C102" s="37"/>
      <c r="D102" s="297"/>
      <c r="E102" s="329"/>
      <c r="F102" s="327">
        <f t="shared" si="20"/>
        <v>0</v>
      </c>
      <c r="G102" s="244"/>
      <c r="H102" s="244" t="str">
        <f>IF(A102="","",VLOOKUP(A102,'6.A'!$A$11:$E$8163,5,FALSE))</f>
        <v/>
      </c>
      <c r="I102" s="244" t="str">
        <f t="shared" si="21"/>
        <v/>
      </c>
      <c r="J102" s="244" t="str">
        <f>IF(H102="","",VLOOKUP(A102,'6.A'!$A$11:$E$743,4,FALSE))</f>
        <v/>
      </c>
      <c r="K102" s="244" t="str">
        <f t="shared" si="22"/>
        <v/>
      </c>
      <c r="L102" s="244" t="str">
        <f>IF(H102="","",IF(C102="","",G64*C102))</f>
        <v/>
      </c>
      <c r="M102" s="328" t="str">
        <f>IF(A102="","",VLOOKUP(A102,'6.A'!$A$11:$C$743,2,FALSE))</f>
        <v/>
      </c>
      <c r="N102" s="274" t="str">
        <f t="shared" si="23"/>
        <v/>
      </c>
      <c r="O102" s="273"/>
      <c r="P102" s="273"/>
      <c r="Q102" s="243"/>
      <c r="R102" s="243"/>
      <c r="S102" s="291"/>
      <c r="T102" s="276"/>
      <c r="U102" s="276"/>
      <c r="V102" s="276"/>
    </row>
    <row r="103" spans="1:22" s="304" customFormat="1" ht="12.75" customHeight="1" x14ac:dyDescent="0.2">
      <c r="A103" s="323"/>
      <c r="B103" s="324"/>
      <c r="C103" s="37"/>
      <c r="D103" s="297"/>
      <c r="E103" s="329"/>
      <c r="F103" s="327">
        <f t="shared" si="20"/>
        <v>0</v>
      </c>
      <c r="G103" s="244"/>
      <c r="H103" s="244" t="str">
        <f>IF(A103="","",VLOOKUP(A103,'6.A'!$A$11:$E$8163,5,FALSE))</f>
        <v/>
      </c>
      <c r="I103" s="244" t="str">
        <f t="shared" si="21"/>
        <v/>
      </c>
      <c r="J103" s="244" t="str">
        <f>IF(H103="","",VLOOKUP(A103,'6.A'!$A$11:$E$743,4,FALSE))</f>
        <v/>
      </c>
      <c r="K103" s="244" t="str">
        <f t="shared" si="22"/>
        <v/>
      </c>
      <c r="L103" s="244" t="str">
        <f>IF(H103="","",IF(C103="","",G64*C103))</f>
        <v/>
      </c>
      <c r="M103" s="328" t="str">
        <f>IF(A103="","",VLOOKUP(A103,'6.A'!$A$11:$C$743,2,FALSE))</f>
        <v/>
      </c>
      <c r="N103" s="274" t="str">
        <f t="shared" si="23"/>
        <v/>
      </c>
      <c r="O103" s="273"/>
      <c r="P103" s="273"/>
      <c r="Q103" s="243"/>
      <c r="R103" s="243"/>
      <c r="S103" s="291"/>
      <c r="T103" s="276"/>
      <c r="U103" s="276"/>
      <c r="V103" s="276"/>
    </row>
    <row r="104" spans="1:22" s="304" customFormat="1" ht="12.75" customHeight="1" x14ac:dyDescent="0.2">
      <c r="A104" s="323"/>
      <c r="B104" s="324"/>
      <c r="C104" s="37"/>
      <c r="D104" s="297"/>
      <c r="E104" s="329"/>
      <c r="F104" s="327">
        <f t="shared" si="20"/>
        <v>0</v>
      </c>
      <c r="G104" s="244"/>
      <c r="H104" s="244" t="str">
        <f>IF(A104="","",VLOOKUP(A104,'6.A'!$A$11:$E$8163,5,FALSE))</f>
        <v/>
      </c>
      <c r="I104" s="244" t="str">
        <f t="shared" si="21"/>
        <v/>
      </c>
      <c r="J104" s="244" t="str">
        <f>IF(H104="","",VLOOKUP(A104,'6.A'!$A$11:$E$743,4,FALSE))</f>
        <v/>
      </c>
      <c r="K104" s="244" t="str">
        <f t="shared" si="22"/>
        <v/>
      </c>
      <c r="L104" s="244" t="str">
        <f>IF(H104="","",IF(C104="","",G64*C104))</f>
        <v/>
      </c>
      <c r="M104" s="328" t="str">
        <f>IF(A104="","",VLOOKUP(A104,'6.A'!$A$11:$C$743,2,FALSE))</f>
        <v/>
      </c>
      <c r="N104" s="274" t="str">
        <f t="shared" si="23"/>
        <v/>
      </c>
      <c r="O104" s="273"/>
      <c r="P104" s="273"/>
      <c r="Q104" s="243"/>
      <c r="R104" s="243"/>
      <c r="S104" s="291"/>
      <c r="T104" s="276"/>
      <c r="U104" s="276"/>
      <c r="V104" s="276"/>
    </row>
    <row r="105" spans="1:22" s="304" customFormat="1" ht="12.75" customHeight="1" x14ac:dyDescent="0.2">
      <c r="A105" s="323"/>
      <c r="B105" s="324"/>
      <c r="C105" s="37"/>
      <c r="D105" s="297"/>
      <c r="E105" s="329"/>
      <c r="F105" s="327">
        <f t="shared" si="20"/>
        <v>0</v>
      </c>
      <c r="G105" s="244"/>
      <c r="H105" s="244" t="str">
        <f>IF(A105="","",VLOOKUP(A105,'6.A'!$A$11:$E$8163,5,FALSE))</f>
        <v/>
      </c>
      <c r="I105" s="244" t="str">
        <f t="shared" si="21"/>
        <v/>
      </c>
      <c r="J105" s="244" t="str">
        <f>IF(H105="","",VLOOKUP(A105,'6.A'!$A$11:$E$743,4,FALSE))</f>
        <v/>
      </c>
      <c r="K105" s="244" t="str">
        <f t="shared" si="22"/>
        <v/>
      </c>
      <c r="L105" s="244" t="str">
        <f>IF(H105="","",IF(C105="","",G64*C105))</f>
        <v/>
      </c>
      <c r="M105" s="328" t="str">
        <f>IF(A105="","",VLOOKUP(A105,'6.A'!$A$11:$C$743,2,FALSE))</f>
        <v/>
      </c>
      <c r="N105" s="274" t="str">
        <f t="shared" si="23"/>
        <v/>
      </c>
      <c r="O105" s="273"/>
      <c r="P105" s="273"/>
      <c r="Q105" s="243"/>
      <c r="R105" s="243"/>
      <c r="S105" s="291"/>
      <c r="T105" s="276"/>
      <c r="U105" s="276"/>
      <c r="V105" s="276"/>
    </row>
    <row r="106" spans="1:22" s="304" customFormat="1" ht="12.75" customHeight="1" x14ac:dyDescent="0.2">
      <c r="A106" s="323"/>
      <c r="B106" s="324"/>
      <c r="C106" s="37"/>
      <c r="D106" s="297"/>
      <c r="E106" s="329"/>
      <c r="F106" s="327">
        <f t="shared" si="20"/>
        <v>0</v>
      </c>
      <c r="G106" s="244"/>
      <c r="H106" s="244" t="str">
        <f>IF(A106="","",VLOOKUP(A106,'6.A'!$A$11:$E$8163,5,FALSE))</f>
        <v/>
      </c>
      <c r="I106" s="244" t="str">
        <f t="shared" si="21"/>
        <v/>
      </c>
      <c r="J106" s="244" t="str">
        <f>IF(H106="","",VLOOKUP(A106,'6.A'!$A$11:$E$743,4,FALSE))</f>
        <v/>
      </c>
      <c r="K106" s="244" t="str">
        <f t="shared" si="22"/>
        <v/>
      </c>
      <c r="L106" s="244" t="str">
        <f>IF(H106="","",IF(C106="","",G64*C106))</f>
        <v/>
      </c>
      <c r="M106" s="328" t="str">
        <f>IF(A106="","",VLOOKUP(A106,'6.A'!$A$11:$C$743,2,FALSE))</f>
        <v/>
      </c>
      <c r="N106" s="274" t="str">
        <f t="shared" si="23"/>
        <v/>
      </c>
      <c r="O106" s="273"/>
      <c r="P106" s="273"/>
      <c r="Q106" s="243"/>
      <c r="R106" s="243"/>
      <c r="S106" s="291"/>
      <c r="T106" s="276"/>
      <c r="U106" s="276"/>
      <c r="V106" s="276"/>
    </row>
    <row r="107" spans="1:22" s="304" customFormat="1" ht="12.75" customHeight="1" x14ac:dyDescent="0.2">
      <c r="A107" s="323"/>
      <c r="B107" s="324"/>
      <c r="C107" s="37"/>
      <c r="D107" s="297"/>
      <c r="E107" s="329"/>
      <c r="F107" s="327">
        <f t="shared" si="20"/>
        <v>0</v>
      </c>
      <c r="G107" s="244"/>
      <c r="H107" s="244" t="str">
        <f>IF(A107="","",VLOOKUP(A107,'6.A'!$A$11:$E$8163,5,FALSE))</f>
        <v/>
      </c>
      <c r="I107" s="244" t="str">
        <f t="shared" si="21"/>
        <v/>
      </c>
      <c r="J107" s="244" t="str">
        <f>IF(H107="","",VLOOKUP(A107,'6.A'!$A$11:$E$743,4,FALSE))</f>
        <v/>
      </c>
      <c r="K107" s="244" t="str">
        <f t="shared" si="22"/>
        <v/>
      </c>
      <c r="L107" s="244" t="str">
        <f>IF(H107="","",IF(C107="","",G64*C107))</f>
        <v/>
      </c>
      <c r="M107" s="328" t="str">
        <f>IF(A107="","",VLOOKUP(A107,'6.A'!$A$11:$C$743,2,FALSE))</f>
        <v/>
      </c>
      <c r="N107" s="274" t="str">
        <f t="shared" si="23"/>
        <v/>
      </c>
      <c r="O107" s="273"/>
      <c r="P107" s="273"/>
      <c r="Q107" s="243"/>
      <c r="R107" s="243"/>
      <c r="S107" s="291"/>
      <c r="T107" s="276"/>
      <c r="U107" s="276"/>
      <c r="V107" s="276"/>
    </row>
    <row r="108" spans="1:22" s="304" customFormat="1" ht="12.75" customHeight="1" x14ac:dyDescent="0.2">
      <c r="A108" s="323"/>
      <c r="B108" s="324"/>
      <c r="C108" s="37"/>
      <c r="D108" s="297"/>
      <c r="E108" s="329"/>
      <c r="F108" s="327">
        <f t="shared" si="20"/>
        <v>0</v>
      </c>
      <c r="G108" s="244"/>
      <c r="H108" s="244" t="str">
        <f>IF(A108="","",VLOOKUP(A108,'6.A'!$A$11:$E$8163,5,FALSE))</f>
        <v/>
      </c>
      <c r="I108" s="244" t="str">
        <f t="shared" si="21"/>
        <v/>
      </c>
      <c r="J108" s="244" t="str">
        <f>IF(H108="","",VLOOKUP(A108,'6.A'!$A$11:$E$743,4,FALSE))</f>
        <v/>
      </c>
      <c r="K108" s="244" t="str">
        <f t="shared" si="22"/>
        <v/>
      </c>
      <c r="L108" s="244" t="str">
        <f>IF(H108="","",IF(C108="","",G64*C108))</f>
        <v/>
      </c>
      <c r="M108" s="328" t="str">
        <f>IF(A108="","",VLOOKUP(A108,'6.A'!$A$11:$C$743,2,FALSE))</f>
        <v/>
      </c>
      <c r="N108" s="274" t="str">
        <f t="shared" si="23"/>
        <v/>
      </c>
      <c r="O108" s="273"/>
      <c r="P108" s="273"/>
      <c r="Q108" s="243"/>
      <c r="R108" s="243"/>
      <c r="S108" s="291"/>
      <c r="T108" s="276"/>
      <c r="U108" s="276"/>
      <c r="V108" s="276"/>
    </row>
    <row r="109" spans="1:22" s="304" customFormat="1" ht="12.75" customHeight="1" x14ac:dyDescent="0.2">
      <c r="A109" s="323"/>
      <c r="B109" s="349"/>
      <c r="C109" s="37"/>
      <c r="D109" s="297"/>
      <c r="E109" s="329"/>
      <c r="F109" s="327">
        <f t="shared" si="20"/>
        <v>0</v>
      </c>
      <c r="G109" s="244"/>
      <c r="H109" s="244" t="str">
        <f>IF(A109="","",VLOOKUP(A109,'6.A'!$A$11:$E$8163,5,FALSE))</f>
        <v/>
      </c>
      <c r="I109" s="244" t="str">
        <f t="shared" si="21"/>
        <v/>
      </c>
      <c r="J109" s="244" t="str">
        <f>IF(H109="","",VLOOKUP(A109,'6.A'!$A$11:$E$743,4,FALSE))</f>
        <v/>
      </c>
      <c r="K109" s="244" t="str">
        <f t="shared" si="22"/>
        <v/>
      </c>
      <c r="L109" s="244" t="str">
        <f>IF(H109="","",IF(C109="","",G64*C109))</f>
        <v/>
      </c>
      <c r="M109" s="328" t="str">
        <f>IF(A109="","",VLOOKUP(A109,'6.A'!$A$11:$C$743,2,FALSE))</f>
        <v/>
      </c>
      <c r="N109" s="274" t="str">
        <f t="shared" si="23"/>
        <v/>
      </c>
      <c r="O109" s="273"/>
      <c r="P109" s="273"/>
      <c r="Q109" s="243"/>
      <c r="R109" s="243"/>
      <c r="S109" s="291"/>
      <c r="T109" s="276"/>
      <c r="U109" s="276"/>
      <c r="V109" s="276"/>
    </row>
    <row r="110" spans="1:22" s="304" customFormat="1" ht="12.75" customHeight="1" x14ac:dyDescent="0.2">
      <c r="A110" s="323"/>
      <c r="B110" s="349"/>
      <c r="C110" s="37"/>
      <c r="D110" s="297"/>
      <c r="E110" s="329"/>
      <c r="F110" s="327">
        <f t="shared" si="20"/>
        <v>0</v>
      </c>
      <c r="G110" s="244"/>
      <c r="H110" s="244" t="str">
        <f>IF(A110="","",VLOOKUP(A110,'6.A'!$A$11:$E$8163,5,FALSE))</f>
        <v/>
      </c>
      <c r="I110" s="244" t="str">
        <f t="shared" si="21"/>
        <v/>
      </c>
      <c r="J110" s="244" t="str">
        <f>IF(H110="","",VLOOKUP(A110,'6.A'!$A$11:$E$743,4,FALSE))</f>
        <v/>
      </c>
      <c r="K110" s="244" t="str">
        <f t="shared" si="22"/>
        <v/>
      </c>
      <c r="L110" s="244" t="str">
        <f>IF(H110="","",IF(C110="","",G64*C110))</f>
        <v/>
      </c>
      <c r="M110" s="328" t="str">
        <f>IF(A110="","",VLOOKUP(A110,'6.A'!$A$11:$C$743,2,FALSE))</f>
        <v/>
      </c>
      <c r="N110" s="274" t="str">
        <f t="shared" si="23"/>
        <v/>
      </c>
      <c r="O110" s="273"/>
      <c r="P110" s="273"/>
      <c r="Q110" s="243"/>
      <c r="R110" s="243"/>
      <c r="S110" s="291"/>
      <c r="T110" s="276"/>
      <c r="U110" s="276"/>
      <c r="V110" s="276"/>
    </row>
    <row r="111" spans="1:22" s="305" customFormat="1" ht="12.75" customHeight="1" x14ac:dyDescent="0.2">
      <c r="A111" s="323"/>
      <c r="B111" s="349"/>
      <c r="C111" s="37"/>
      <c r="D111" s="297"/>
      <c r="E111" s="329"/>
      <c r="F111" s="327">
        <f t="shared" si="20"/>
        <v>0</v>
      </c>
      <c r="G111" s="244"/>
      <c r="H111" s="244" t="str">
        <f>IF(A111="","",VLOOKUP(A111,'6.A'!$A$11:$E$8163,5,FALSE))</f>
        <v/>
      </c>
      <c r="I111" s="244" t="str">
        <f t="shared" si="21"/>
        <v/>
      </c>
      <c r="J111" s="244" t="str">
        <f>IF(H111="","",VLOOKUP(A111,'6.A'!$A$11:$E$743,4,FALSE))</f>
        <v/>
      </c>
      <c r="K111" s="244" t="str">
        <f t="shared" si="22"/>
        <v/>
      </c>
      <c r="L111" s="244" t="str">
        <f>IF(H111="","",IF(C111="","",G64*C111))</f>
        <v/>
      </c>
      <c r="M111" s="328" t="str">
        <f>IF(A111="","",VLOOKUP(A111,'6.A'!$A$11:$C$743,2,FALSE))</f>
        <v/>
      </c>
      <c r="N111" s="274" t="str">
        <f t="shared" si="23"/>
        <v/>
      </c>
      <c r="O111" s="273"/>
      <c r="P111" s="273"/>
      <c r="Q111" s="243"/>
      <c r="R111" s="243"/>
      <c r="S111" s="291"/>
      <c r="T111" s="276"/>
      <c r="U111" s="276"/>
      <c r="V111" s="276"/>
    </row>
    <row r="112" spans="1:22" s="305" customFormat="1" ht="12.75" customHeight="1" x14ac:dyDescent="0.2">
      <c r="A112" s="323"/>
      <c r="B112" s="349"/>
      <c r="C112" s="37"/>
      <c r="D112" s="297"/>
      <c r="E112" s="329"/>
      <c r="F112" s="327">
        <f t="shared" si="20"/>
        <v>0</v>
      </c>
      <c r="G112" s="244"/>
      <c r="H112" s="244" t="str">
        <f>IF(A112="","",VLOOKUP(A112,'6.A'!$A$11:$E$8163,5,FALSE))</f>
        <v/>
      </c>
      <c r="I112" s="244" t="str">
        <f t="shared" si="21"/>
        <v/>
      </c>
      <c r="J112" s="244" t="str">
        <f>IF(H112="","",VLOOKUP(A112,'6.A'!$A$11:$E$743,4,FALSE))</f>
        <v/>
      </c>
      <c r="K112" s="244" t="str">
        <f t="shared" si="22"/>
        <v/>
      </c>
      <c r="L112" s="244" t="str">
        <f>IF(H112="","",IF(C112="","",G64*C112))</f>
        <v/>
      </c>
      <c r="M112" s="328" t="str">
        <f>IF(A112="","",VLOOKUP(A112,'6.A'!$A$11:$C$743,2,FALSE))</f>
        <v/>
      </c>
      <c r="N112" s="274" t="str">
        <f t="shared" si="23"/>
        <v/>
      </c>
      <c r="O112" s="273"/>
      <c r="P112" s="273"/>
      <c r="Q112" s="243"/>
      <c r="R112" s="243"/>
      <c r="S112" s="291"/>
      <c r="T112" s="276"/>
      <c r="U112" s="276"/>
      <c r="V112" s="276"/>
    </row>
    <row r="113" spans="1:22" s="305" customFormat="1" ht="12.75" customHeight="1" x14ac:dyDescent="0.2">
      <c r="A113" s="323"/>
      <c r="B113" s="331" t="str">
        <f>$A$9</f>
        <v>BDI - M.O / SERV. / MAT. COMUNS</v>
      </c>
      <c r="C113" s="350">
        <f>$C$9</f>
        <v>0</v>
      </c>
      <c r="D113" s="297"/>
      <c r="E113" s="298"/>
      <c r="F113" s="332">
        <f>ROUND(SUM(F93:F112)*C113,2)</f>
        <v>0</v>
      </c>
      <c r="G113" s="333"/>
      <c r="H113" s="244"/>
      <c r="I113" s="274"/>
      <c r="J113" s="274"/>
      <c r="K113" s="274"/>
      <c r="L113" s="244"/>
      <c r="M113" s="274"/>
      <c r="N113" s="274"/>
      <c r="O113" s="273"/>
      <c r="P113" s="273"/>
      <c r="Q113" s="243"/>
      <c r="R113" s="243"/>
      <c r="S113" s="291"/>
      <c r="T113" s="276"/>
      <c r="U113" s="276"/>
      <c r="V113" s="276"/>
    </row>
    <row r="114" spans="1:22" s="305" customFormat="1" ht="12.75" customHeight="1" thickBot="1" x14ac:dyDescent="0.25">
      <c r="A114" s="351"/>
      <c r="B114" s="352" t="s">
        <v>53</v>
      </c>
      <c r="C114" s="4"/>
      <c r="D114" s="353"/>
      <c r="E114" s="354"/>
      <c r="F114" s="355">
        <f>ROUND(SUM(F93:F113),2)</f>
        <v>0</v>
      </c>
      <c r="G114" s="333"/>
      <c r="H114" s="244"/>
      <c r="I114" s="274"/>
      <c r="J114" s="274"/>
      <c r="K114" s="274"/>
      <c r="L114" s="244"/>
      <c r="M114" s="274"/>
      <c r="N114" s="274"/>
      <c r="O114" s="273"/>
      <c r="P114" s="273"/>
      <c r="Q114" s="243"/>
      <c r="R114" s="243"/>
      <c r="S114" s="291"/>
      <c r="T114" s="276"/>
      <c r="U114" s="276"/>
      <c r="V114" s="276"/>
    </row>
    <row r="115" spans="1:22" s="305" customFormat="1" ht="9.9499999999999993" customHeight="1" thickBot="1" x14ac:dyDescent="0.25">
      <c r="A115" s="294"/>
      <c r="B115" s="295"/>
      <c r="C115" s="296"/>
      <c r="D115" s="297"/>
      <c r="E115" s="298"/>
      <c r="F115" s="299"/>
      <c r="G115" s="299"/>
      <c r="H115" s="300"/>
      <c r="I115" s="297"/>
      <c r="J115" s="297"/>
      <c r="K115" s="297"/>
      <c r="L115" s="300"/>
      <c r="M115" s="301"/>
      <c r="N115" s="301"/>
      <c r="O115" s="302"/>
      <c r="P115" s="302"/>
      <c r="Q115" s="303"/>
      <c r="R115" s="303"/>
      <c r="S115" s="304"/>
    </row>
    <row r="116" spans="1:22" s="305" customFormat="1" ht="50.1" customHeight="1" x14ac:dyDescent="0.2">
      <c r="A116" s="306" t="str">
        <f>'3.A'!$A$27</f>
        <v>3.1</v>
      </c>
      <c r="B116" s="307" t="str">
        <f>'3.A'!$B$27</f>
        <v>FORNECIMENTO POSTO OBRA E INSTALAÇÃO DE GUARDA-CORPO ESCADA EM POLÍMERO REFORÇADO COM FIBRA DE VIDRO</v>
      </c>
      <c r="C116" s="617" t="s">
        <v>58</v>
      </c>
      <c r="D116" s="617"/>
      <c r="E116" s="308" t="str">
        <f>'3.A'!$C$27</f>
        <v>M</v>
      </c>
      <c r="F116" s="2">
        <f>ROUND(F130+F143+F166,2)</f>
        <v>0</v>
      </c>
      <c r="G116" s="309">
        <f>VLOOKUP(A116,'3.A'!$A$1:$I$195,4,FALSE)</f>
        <v>58.1</v>
      </c>
      <c r="H116" s="310">
        <f>SUM(F118:F129)</f>
        <v>0</v>
      </c>
      <c r="I116" s="310">
        <f>SUM(F132:F142)</f>
        <v>0</v>
      </c>
      <c r="J116" s="310">
        <f>SUM(F145:F165)</f>
        <v>0</v>
      </c>
      <c r="K116" s="310">
        <f>SUM(H116:J116)</f>
        <v>0</v>
      </c>
      <c r="L116" s="310" t="str">
        <f>IF(K116=F116,"SIM","NÃO")</f>
        <v>SIM</v>
      </c>
      <c r="M116" s="311">
        <f>ROUND(SUM(F118:F127)*C128,2)+ROUND(SUM(F118:F128)*C129,2)+ROUND(SUM(F118:F127),2)+ROUND(SUM(F132:F141)*C142,2)+ROUND(SUM(F132:F141),2)+ROUND(SUM(F145:F164)*C165,2)+ROUND(SUM(F145:F164),2)</f>
        <v>0</v>
      </c>
      <c r="N116" s="280" t="str">
        <f>IF(M116=F116,"SIM","NÃO")</f>
        <v>SIM</v>
      </c>
      <c r="O116" s="281" t="str">
        <f>VLOOKUP(A116,'3.A'!$A$9:$E$195,3,FALSE)</f>
        <v>M</v>
      </c>
      <c r="P116" s="281" t="str">
        <f>IF(O116=E116,"SIM","NÃO")</f>
        <v>SIM</v>
      </c>
      <c r="Q116" s="312">
        <f>ROUND(G116*F130,2)+ROUND(G116*F143,2)+ROUND(G116*F166,2)</f>
        <v>0</v>
      </c>
      <c r="R116" s="313">
        <f>VLOOKUP(A116,'3.A'!$A$18:$L$195,9,FALSE)</f>
        <v>0</v>
      </c>
      <c r="S116" s="314" t="str">
        <f>IF(Q116=R116,"si","no")</f>
        <v>si</v>
      </c>
      <c r="T116" s="315">
        <f>SUM(L118:L127)+SUM(L132:L141)+SUM(L145:L164)</f>
        <v>58.1</v>
      </c>
      <c r="U116" s="244">
        <f>G116*C124+G116*C126+G116*C120+G116*C119+G116*C121+G116*C125+G116*C123+G116*C122+G116*C118+G116*C127+G116*C138+G116*C132+G116*C140+G116*C139+G116*C137+G116*C134+G116*C133+G116*C135+G116*C141+G116*C136+G116*C145+G116*C146+G116*C147+G116*C155+G116*C156+G116*C157+G116*C158+G116*C159+G116*C160+G116*C161+G116*C162+G116*C163+G116*C164+G116*C153+G116*C154+G116*C148+G116*C149+G116*C150+G116*C151+G116*C152</f>
        <v>58.1</v>
      </c>
      <c r="V116" s="316" t="str">
        <f>IF(T116=U116,"si","no")</f>
        <v>si</v>
      </c>
    </row>
    <row r="117" spans="1:22" s="305" customFormat="1" ht="12.75" customHeight="1" x14ac:dyDescent="0.2">
      <c r="A117" s="317" t="s">
        <v>2</v>
      </c>
      <c r="B117" s="318" t="s">
        <v>54</v>
      </c>
      <c r="C117" s="319" t="s">
        <v>55</v>
      </c>
      <c r="D117" s="319" t="s">
        <v>19</v>
      </c>
      <c r="E117" s="320" t="s">
        <v>56</v>
      </c>
      <c r="F117" s="321" t="s">
        <v>57</v>
      </c>
      <c r="G117" s="322"/>
      <c r="H117" s="244"/>
      <c r="I117" s="274"/>
      <c r="J117" s="274"/>
      <c r="K117" s="274"/>
      <c r="L117" s="244"/>
      <c r="M117" s="274"/>
      <c r="N117" s="274"/>
      <c r="O117" s="273"/>
      <c r="P117" s="273"/>
      <c r="Q117" s="243"/>
      <c r="R117" s="243"/>
      <c r="S117" s="291"/>
      <c r="T117" s="276"/>
      <c r="U117" s="276"/>
      <c r="V117" s="276"/>
    </row>
    <row r="118" spans="1:22" s="305" customFormat="1" ht="12.75" customHeight="1" x14ac:dyDescent="0.2">
      <c r="A118" s="323"/>
      <c r="B118" s="324"/>
      <c r="C118" s="37"/>
      <c r="D118" s="325"/>
      <c r="E118" s="326"/>
      <c r="F118" s="327">
        <f>ROUND(C118*E118,2)</f>
        <v>0</v>
      </c>
      <c r="G118" s="244"/>
      <c r="H118" s="244" t="str">
        <f>IF(A118="","",VLOOKUP(A118,'6.A'!$A$11:$E$8163,5,FALSE))</f>
        <v/>
      </c>
      <c r="I118" s="244" t="str">
        <f>IF(H118="","",IF(E118=H118,"SIM","NÃO"))</f>
        <v/>
      </c>
      <c r="J118" s="244" t="str">
        <f>IF(H118="","",VLOOKUP(A118,'6.A'!$A$11:$E$743,4,FALSE))</f>
        <v/>
      </c>
      <c r="K118" s="244" t="str">
        <f>IF(H118="","",IF(J118=D118,"SIM","NÃO"))</f>
        <v/>
      </c>
      <c r="L118" s="244" t="str">
        <f>IF(H118="","",IF(C118="","",G116*C118))</f>
        <v/>
      </c>
      <c r="M118" s="328" t="str">
        <f>IF(A118="","",VLOOKUP(A118,'6.A'!$A$11:$C$743,2,FALSE))</f>
        <v/>
      </c>
      <c r="N118" s="274" t="str">
        <f>IF(A118="","",IF(M118=B118,"si","no"))</f>
        <v/>
      </c>
      <c r="O118" s="273"/>
      <c r="P118" s="273"/>
      <c r="Q118" s="243"/>
      <c r="R118" s="243"/>
      <c r="S118" s="291"/>
      <c r="T118" s="276"/>
      <c r="U118" s="276"/>
      <c r="V118" s="276"/>
    </row>
    <row r="119" spans="1:22" s="305" customFormat="1" ht="12.75" customHeight="1" x14ac:dyDescent="0.2">
      <c r="A119" s="323"/>
      <c r="B119" s="324"/>
      <c r="C119" s="37"/>
      <c r="D119" s="325"/>
      <c r="E119" s="326"/>
      <c r="F119" s="327">
        <f t="shared" ref="F119:F127" si="24">ROUND(C119*E119,2)</f>
        <v>0</v>
      </c>
      <c r="G119" s="244"/>
      <c r="H119" s="244" t="str">
        <f>IF(A119="","",VLOOKUP(A119,'6.A'!$A$11:$E$8163,5,FALSE))</f>
        <v/>
      </c>
      <c r="I119" s="244" t="str">
        <f t="shared" ref="I119:I127" si="25">IF(H119="","",IF(E119=H119,"SIM","NÃO"))</f>
        <v/>
      </c>
      <c r="J119" s="244" t="str">
        <f>IF(H119="","",VLOOKUP(A119,'6.A'!$A$11:$E$743,4,FALSE))</f>
        <v/>
      </c>
      <c r="K119" s="244" t="str">
        <f t="shared" ref="K119:K127" si="26">IF(H119="","",IF(J119=D119,"SIM","NÃO"))</f>
        <v/>
      </c>
      <c r="L119" s="244" t="str">
        <f>IF(H119="","",IF(C119="","",G116*C119))</f>
        <v/>
      </c>
      <c r="M119" s="328" t="str">
        <f>IF(A119="","",VLOOKUP(A119,'6.A'!$A$11:$C$743,2,FALSE))</f>
        <v/>
      </c>
      <c r="N119" s="274" t="str">
        <f t="shared" ref="N119:N127" si="27">IF(A119="","",IF(M119=B119,"si","no"))</f>
        <v/>
      </c>
      <c r="O119" s="273"/>
      <c r="P119" s="273"/>
      <c r="Q119" s="243"/>
      <c r="R119" s="243"/>
      <c r="S119" s="291"/>
      <c r="T119" s="276"/>
      <c r="U119" s="276"/>
      <c r="V119" s="276"/>
    </row>
    <row r="120" spans="1:22" s="305" customFormat="1" ht="12.75" customHeight="1" x14ac:dyDescent="0.2">
      <c r="A120" s="323"/>
      <c r="B120" s="324"/>
      <c r="C120" s="37"/>
      <c r="D120" s="325"/>
      <c r="E120" s="326"/>
      <c r="F120" s="327">
        <f t="shared" si="24"/>
        <v>0</v>
      </c>
      <c r="G120" s="244"/>
      <c r="H120" s="244" t="str">
        <f>IF(A120="","",VLOOKUP(A120,'6.A'!$A$11:$E$8163,5,FALSE))</f>
        <v/>
      </c>
      <c r="I120" s="244" t="str">
        <f t="shared" si="25"/>
        <v/>
      </c>
      <c r="J120" s="244" t="str">
        <f>IF(H120="","",VLOOKUP(A120,'6.A'!$A$11:$E$743,4,FALSE))</f>
        <v/>
      </c>
      <c r="K120" s="244" t="str">
        <f t="shared" si="26"/>
        <v/>
      </c>
      <c r="L120" s="244" t="str">
        <f>IF(H120="","",IF(C120="","",G116*C120))</f>
        <v/>
      </c>
      <c r="M120" s="328" t="str">
        <f>IF(A120="","",VLOOKUP(A120,'6.A'!$A$11:$C$743,2,FALSE))</f>
        <v/>
      </c>
      <c r="N120" s="274" t="str">
        <f t="shared" si="27"/>
        <v/>
      </c>
      <c r="O120" s="273"/>
      <c r="P120" s="273"/>
      <c r="Q120" s="243"/>
      <c r="R120" s="243"/>
      <c r="S120" s="291"/>
      <c r="T120" s="276"/>
      <c r="U120" s="276"/>
      <c r="V120" s="276"/>
    </row>
    <row r="121" spans="1:22" s="305" customFormat="1" ht="12.75" customHeight="1" x14ac:dyDescent="0.2">
      <c r="A121" s="323"/>
      <c r="B121" s="324"/>
      <c r="C121" s="37"/>
      <c r="D121" s="325"/>
      <c r="E121" s="326"/>
      <c r="F121" s="327">
        <f t="shared" si="24"/>
        <v>0</v>
      </c>
      <c r="G121" s="244"/>
      <c r="H121" s="244" t="str">
        <f>IF(A121="","",VLOOKUP(A121,'6.A'!$A$11:$E$8163,5,FALSE))</f>
        <v/>
      </c>
      <c r="I121" s="244" t="str">
        <f t="shared" si="25"/>
        <v/>
      </c>
      <c r="J121" s="244" t="str">
        <f>IF(H121="","",VLOOKUP(A121,'6.A'!$A$11:$E$743,4,FALSE))</f>
        <v/>
      </c>
      <c r="K121" s="244" t="str">
        <f t="shared" si="26"/>
        <v/>
      </c>
      <c r="L121" s="244" t="str">
        <f>IF(H121="","",IF(C121="","",G116*C121))</f>
        <v/>
      </c>
      <c r="M121" s="328" t="str">
        <f>IF(A121="","",VLOOKUP(A121,'6.A'!$A$11:$C$743,2,FALSE))</f>
        <v/>
      </c>
      <c r="N121" s="274" t="str">
        <f t="shared" si="27"/>
        <v/>
      </c>
      <c r="O121" s="273"/>
      <c r="P121" s="273"/>
      <c r="Q121" s="243"/>
      <c r="R121" s="243"/>
      <c r="S121" s="291"/>
      <c r="T121" s="276"/>
      <c r="U121" s="276"/>
      <c r="V121" s="276"/>
    </row>
    <row r="122" spans="1:22" s="305" customFormat="1" ht="12.75" customHeight="1" x14ac:dyDescent="0.2">
      <c r="A122" s="323"/>
      <c r="B122" s="324"/>
      <c r="C122" s="37"/>
      <c r="D122" s="325"/>
      <c r="E122" s="326"/>
      <c r="F122" s="327">
        <f t="shared" si="24"/>
        <v>0</v>
      </c>
      <c r="G122" s="244"/>
      <c r="H122" s="244" t="str">
        <f>IF(A122="","",VLOOKUP(A122,'6.A'!$A$11:$E$8163,5,FALSE))</f>
        <v/>
      </c>
      <c r="I122" s="244" t="str">
        <f t="shared" si="25"/>
        <v/>
      </c>
      <c r="J122" s="244" t="str">
        <f>IF(H122="","",VLOOKUP(A122,'6.A'!$A$11:$E$743,4,FALSE))</f>
        <v/>
      </c>
      <c r="K122" s="244" t="str">
        <f t="shared" si="26"/>
        <v/>
      </c>
      <c r="L122" s="244" t="str">
        <f>IF(H122="","",IF(C122="","",G116*C122))</f>
        <v/>
      </c>
      <c r="M122" s="328" t="str">
        <f>IF(A122="","",VLOOKUP(A122,'6.A'!$A$11:$C$743,2,FALSE))</f>
        <v/>
      </c>
      <c r="N122" s="274" t="str">
        <f t="shared" si="27"/>
        <v/>
      </c>
      <c r="O122" s="273"/>
      <c r="P122" s="273"/>
      <c r="Q122" s="243"/>
      <c r="R122" s="243"/>
      <c r="S122" s="291"/>
      <c r="T122" s="276"/>
      <c r="U122" s="276"/>
      <c r="V122" s="276"/>
    </row>
    <row r="123" spans="1:22" s="305" customFormat="1" ht="12.75" customHeight="1" x14ac:dyDescent="0.2">
      <c r="A123" s="342"/>
      <c r="B123" s="343"/>
      <c r="C123" s="23"/>
      <c r="D123" s="274"/>
      <c r="E123" s="344"/>
      <c r="F123" s="327">
        <f t="shared" si="24"/>
        <v>0</v>
      </c>
      <c r="G123" s="244"/>
      <c r="H123" s="244" t="str">
        <f>IF(A123="","",VLOOKUP(A123,'6.A'!$A$11:$E$8163,5,FALSE))</f>
        <v/>
      </c>
      <c r="I123" s="244" t="str">
        <f t="shared" si="25"/>
        <v/>
      </c>
      <c r="J123" s="244" t="str">
        <f>IF(H123="","",VLOOKUP(A123,'6.A'!$A$11:$E$743,4,FALSE))</f>
        <v/>
      </c>
      <c r="K123" s="244" t="str">
        <f t="shared" si="26"/>
        <v/>
      </c>
      <c r="L123" s="244" t="str">
        <f>IF(H123="","",IF(C123="","",G116*C123))</f>
        <v/>
      </c>
      <c r="M123" s="328" t="str">
        <f>IF(A123="","",VLOOKUP(A123,'6.A'!$A$11:$C$743,2,FALSE))</f>
        <v/>
      </c>
      <c r="N123" s="274" t="str">
        <f t="shared" si="27"/>
        <v/>
      </c>
      <c r="O123" s="273"/>
      <c r="P123" s="273"/>
      <c r="Q123" s="243"/>
      <c r="R123" s="243"/>
      <c r="S123" s="291"/>
      <c r="T123" s="276"/>
      <c r="U123" s="276"/>
      <c r="V123" s="276"/>
    </row>
    <row r="124" spans="1:22" s="305" customFormat="1" ht="12.75" customHeight="1" x14ac:dyDescent="0.2">
      <c r="A124" s="323"/>
      <c r="B124" s="324"/>
      <c r="C124" s="37"/>
      <c r="D124" s="297"/>
      <c r="E124" s="329"/>
      <c r="F124" s="327">
        <f t="shared" si="24"/>
        <v>0</v>
      </c>
      <c r="G124" s="244"/>
      <c r="H124" s="244" t="str">
        <f>IF(A124="","",VLOOKUP(A124,'6.A'!$A$11:$E$8163,5,FALSE))</f>
        <v/>
      </c>
      <c r="I124" s="244" t="str">
        <f t="shared" si="25"/>
        <v/>
      </c>
      <c r="J124" s="244" t="str">
        <f>IF(H124="","",VLOOKUP(A124,'6.A'!$A$11:$E$743,4,FALSE))</f>
        <v/>
      </c>
      <c r="K124" s="244" t="str">
        <f t="shared" si="26"/>
        <v/>
      </c>
      <c r="L124" s="244" t="str">
        <f>IF(H124="","",IF(C124="","",G116*C124))</f>
        <v/>
      </c>
      <c r="M124" s="328" t="str">
        <f>IF(A124="","",VLOOKUP(A124,'6.A'!$A$11:$C$743,2,FALSE))</f>
        <v/>
      </c>
      <c r="N124" s="274" t="str">
        <f t="shared" si="27"/>
        <v/>
      </c>
      <c r="O124" s="273"/>
      <c r="P124" s="273"/>
      <c r="Q124" s="243"/>
      <c r="R124" s="243"/>
      <c r="S124" s="291"/>
      <c r="T124" s="276"/>
      <c r="U124" s="276"/>
      <c r="V124" s="276"/>
    </row>
    <row r="125" spans="1:22" s="304" customFormat="1" ht="12.75" customHeight="1" x14ac:dyDescent="0.2">
      <c r="A125" s="323"/>
      <c r="B125" s="324"/>
      <c r="C125" s="37"/>
      <c r="D125" s="297"/>
      <c r="E125" s="326"/>
      <c r="F125" s="327">
        <f t="shared" si="24"/>
        <v>0</v>
      </c>
      <c r="G125" s="244"/>
      <c r="H125" s="244" t="str">
        <f>IF(A125="","",VLOOKUP(A125,'6.A'!$A$11:$E$8163,5,FALSE))</f>
        <v/>
      </c>
      <c r="I125" s="244" t="str">
        <f t="shared" si="25"/>
        <v/>
      </c>
      <c r="J125" s="244" t="str">
        <f>IF(H125="","",VLOOKUP(A125,'6.A'!$A$11:$E$743,4,FALSE))</f>
        <v/>
      </c>
      <c r="K125" s="244" t="str">
        <f t="shared" si="26"/>
        <v/>
      </c>
      <c r="L125" s="244" t="str">
        <f>IF(H125="","",IF(C125="","",G116*C125))</f>
        <v/>
      </c>
      <c r="M125" s="328" t="str">
        <f>IF(A125="","",VLOOKUP(A125,'6.A'!$A$11:$C$743,2,FALSE))</f>
        <v/>
      </c>
      <c r="N125" s="274" t="str">
        <f t="shared" si="27"/>
        <v/>
      </c>
      <c r="O125" s="273"/>
      <c r="P125" s="273"/>
      <c r="Q125" s="243"/>
      <c r="R125" s="243"/>
      <c r="S125" s="291"/>
      <c r="T125" s="276"/>
      <c r="U125" s="276"/>
      <c r="V125" s="276"/>
    </row>
    <row r="126" spans="1:22" s="304" customFormat="1" ht="12.75" customHeight="1" x14ac:dyDescent="0.2">
      <c r="A126" s="323"/>
      <c r="B126" s="324"/>
      <c r="C126" s="37"/>
      <c r="D126" s="297"/>
      <c r="E126" s="326"/>
      <c r="F126" s="327">
        <f t="shared" si="24"/>
        <v>0</v>
      </c>
      <c r="G126" s="244"/>
      <c r="H126" s="244" t="str">
        <f>IF(A126="","",VLOOKUP(A126,'6.A'!$A$11:$E$8163,5,FALSE))</f>
        <v/>
      </c>
      <c r="I126" s="244" t="str">
        <f t="shared" si="25"/>
        <v/>
      </c>
      <c r="J126" s="244" t="str">
        <f>IF(H126="","",VLOOKUP(A126,'6.A'!$A$11:$E$743,4,FALSE))</f>
        <v/>
      </c>
      <c r="K126" s="244" t="str">
        <f t="shared" si="26"/>
        <v/>
      </c>
      <c r="L126" s="244" t="str">
        <f>IF(H126="","",IF(C126="","",G116*C126))</f>
        <v/>
      </c>
      <c r="M126" s="328" t="str">
        <f>IF(A126="","",VLOOKUP(A126,'6.A'!$A$11:$C$743,2,FALSE))</f>
        <v/>
      </c>
      <c r="N126" s="274" t="str">
        <f t="shared" si="27"/>
        <v/>
      </c>
      <c r="O126" s="273"/>
      <c r="P126" s="273"/>
      <c r="Q126" s="243"/>
      <c r="R126" s="243"/>
      <c r="S126" s="291"/>
      <c r="T126" s="276"/>
      <c r="U126" s="276"/>
      <c r="V126" s="276"/>
    </row>
    <row r="127" spans="1:22" s="304" customFormat="1" ht="12.75" customHeight="1" x14ac:dyDescent="0.2">
      <c r="A127" s="323"/>
      <c r="B127" s="324"/>
      <c r="C127" s="37"/>
      <c r="D127" s="330"/>
      <c r="E127" s="326"/>
      <c r="F127" s="327">
        <f t="shared" si="24"/>
        <v>0</v>
      </c>
      <c r="G127" s="244"/>
      <c r="H127" s="244" t="str">
        <f>IF(A127="","",VLOOKUP(A127,'6.A'!$A$11:$E$8163,5,FALSE))</f>
        <v/>
      </c>
      <c r="I127" s="244" t="str">
        <f t="shared" si="25"/>
        <v/>
      </c>
      <c r="J127" s="244" t="str">
        <f>IF(H127="","",VLOOKUP(A127,'6.A'!$A$11:$E$743,4,FALSE))</f>
        <v/>
      </c>
      <c r="K127" s="244" t="str">
        <f t="shared" si="26"/>
        <v/>
      </c>
      <c r="L127" s="244" t="str">
        <f>IF(H127="","",IF(C127="","",G116*C127))</f>
        <v/>
      </c>
      <c r="M127" s="328" t="str">
        <f>IF(A127="","",VLOOKUP(A127,'6.A'!$A$11:$C$743,2,FALSE))</f>
        <v/>
      </c>
      <c r="N127" s="274" t="str">
        <f t="shared" si="27"/>
        <v/>
      </c>
      <c r="O127" s="273"/>
      <c r="P127" s="273"/>
      <c r="Q127" s="243"/>
      <c r="R127" s="243"/>
      <c r="S127" s="291"/>
      <c r="T127" s="276"/>
      <c r="U127" s="276"/>
      <c r="V127" s="276"/>
    </row>
    <row r="128" spans="1:22" s="304" customFormat="1" ht="12.75" customHeight="1" x14ac:dyDescent="0.2">
      <c r="A128" s="317"/>
      <c r="B128" s="331" t="str">
        <f>$A$8</f>
        <v>LEIS SOCIAIS HORISTA - JORNADA NORMAL</v>
      </c>
      <c r="C128" s="3">
        <f>$C$8</f>
        <v>0</v>
      </c>
      <c r="D128" s="297"/>
      <c r="E128" s="298"/>
      <c r="F128" s="332">
        <f>ROUND(SUM(F118:F127)*C128,2)</f>
        <v>0</v>
      </c>
      <c r="G128" s="333"/>
      <c r="H128" s="244"/>
      <c r="I128" s="274"/>
      <c r="J128" s="274"/>
      <c r="K128" s="274"/>
      <c r="L128" s="244"/>
      <c r="M128" s="334"/>
      <c r="N128" s="274"/>
      <c r="O128" s="273"/>
      <c r="P128" s="273"/>
      <c r="Q128" s="243"/>
      <c r="R128" s="243"/>
      <c r="S128" s="291"/>
      <c r="T128" s="276"/>
      <c r="U128" s="276"/>
      <c r="V128" s="276"/>
    </row>
    <row r="129" spans="1:22" s="304" customFormat="1" ht="12.75" customHeight="1" x14ac:dyDescent="0.2">
      <c r="A129" s="323"/>
      <c r="B129" s="331" t="str">
        <f>$A$9</f>
        <v>BDI - M.O / SERV. / MAT. COMUNS</v>
      </c>
      <c r="C129" s="3">
        <f>$C$9</f>
        <v>0</v>
      </c>
      <c r="D129" s="335"/>
      <c r="E129" s="298"/>
      <c r="F129" s="332">
        <f>ROUND(SUM(F118:F128)*C129,2)</f>
        <v>0</v>
      </c>
      <c r="G129" s="333"/>
      <c r="H129" s="244"/>
      <c r="I129" s="274"/>
      <c r="J129" s="274"/>
      <c r="K129" s="274"/>
      <c r="L129" s="244"/>
      <c r="M129" s="334"/>
      <c r="N129" s="274"/>
      <c r="O129" s="273"/>
      <c r="P129" s="273"/>
      <c r="Q129" s="243"/>
      <c r="R129" s="243"/>
      <c r="S129" s="291"/>
      <c r="T129" s="276"/>
      <c r="U129" s="276"/>
      <c r="V129" s="276"/>
    </row>
    <row r="130" spans="1:22" s="304" customFormat="1" ht="12.75" customHeight="1" x14ac:dyDescent="0.2">
      <c r="A130" s="336"/>
      <c r="B130" s="337" t="s">
        <v>52</v>
      </c>
      <c r="C130" s="338"/>
      <c r="D130" s="339"/>
      <c r="E130" s="340"/>
      <c r="F130" s="341">
        <f>ROUND(SUM(F118:F129),2)</f>
        <v>0</v>
      </c>
      <c r="G130" s="333"/>
      <c r="H130" s="244"/>
      <c r="I130" s="274"/>
      <c r="J130" s="274"/>
      <c r="K130" s="274"/>
      <c r="L130" s="244"/>
      <c r="M130" s="334"/>
      <c r="N130" s="274"/>
      <c r="O130" s="273"/>
      <c r="P130" s="273"/>
      <c r="Q130" s="243"/>
      <c r="R130" s="243"/>
      <c r="S130" s="291"/>
      <c r="T130" s="276"/>
      <c r="U130" s="276"/>
      <c r="V130" s="276"/>
    </row>
    <row r="131" spans="1:22" s="304" customFormat="1" ht="12.75" customHeight="1" x14ac:dyDescent="0.2">
      <c r="A131" s="317" t="s">
        <v>4</v>
      </c>
      <c r="B131" s="318" t="s">
        <v>117</v>
      </c>
      <c r="C131" s="319" t="s">
        <v>55</v>
      </c>
      <c r="D131" s="319" t="s">
        <v>19</v>
      </c>
      <c r="E131" s="320" t="s">
        <v>56</v>
      </c>
      <c r="F131" s="321" t="s">
        <v>57</v>
      </c>
      <c r="G131" s="322"/>
      <c r="H131" s="244"/>
      <c r="I131" s="274"/>
      <c r="J131" s="274"/>
      <c r="K131" s="274"/>
      <c r="L131" s="244"/>
      <c r="M131" s="334"/>
      <c r="N131" s="274"/>
      <c r="O131" s="273"/>
      <c r="P131" s="273"/>
      <c r="Q131" s="243"/>
      <c r="R131" s="243"/>
      <c r="S131" s="291"/>
      <c r="T131" s="276"/>
      <c r="U131" s="276"/>
      <c r="V131" s="276"/>
    </row>
    <row r="132" spans="1:22" s="304" customFormat="1" ht="12.75" customHeight="1" x14ac:dyDescent="0.2">
      <c r="A132" s="342">
        <f>'6.A'!$A$16</f>
        <v>70110152</v>
      </c>
      <c r="B132" s="343" t="str">
        <f>'6.A'!$B$16</f>
        <v>GUARDA-CORPO ESCADA FIBRA DE VIDRO (PRFV) TIPO 1 NTS 282-2020</v>
      </c>
      <c r="C132" s="37">
        <v>1</v>
      </c>
      <c r="D132" s="297" t="str">
        <f>'6.A'!$D$16</f>
        <v>M</v>
      </c>
      <c r="E132" s="344">
        <f>'6.A'!E16</f>
        <v>0</v>
      </c>
      <c r="F132" s="327">
        <f>ROUND(C132*E132,2)</f>
        <v>0</v>
      </c>
      <c r="G132" s="244"/>
      <c r="H132" s="244">
        <f>IF(A132="","",VLOOKUP(A132,'6.A'!$A$11:$E$8163,5,FALSE))</f>
        <v>0</v>
      </c>
      <c r="I132" s="244" t="str">
        <f t="shared" ref="I132:I141" si="28">IF(H132="","",IF(E132=H132,"SIM","NÃO"))</f>
        <v>SIM</v>
      </c>
      <c r="J132" s="244" t="str">
        <f>IF(H132="","",VLOOKUP(A132,'6.A'!$A$11:$E$743,4,FALSE))</f>
        <v>M</v>
      </c>
      <c r="K132" s="244" t="str">
        <f t="shared" ref="K132:K141" si="29">IF(H132="","",IF(J132=D132,"SIM","NÃO"))</f>
        <v>SIM</v>
      </c>
      <c r="L132" s="244">
        <f>IF(H132="","",IF(C132="","",G116*C132))</f>
        <v>58.1</v>
      </c>
      <c r="M132" s="328" t="str">
        <f>IF(A132="","",VLOOKUP(A132,'6.A'!$A$11:$C$743,2,FALSE))</f>
        <v>GUARDA-CORPO ESCADA FIBRA DE VIDRO (PRFV) TIPO 1 NTS 282-2020</v>
      </c>
      <c r="N132" s="274" t="str">
        <f t="shared" ref="N132:N141" si="30">IF(A132="","",IF(M132=B132,"si","no"))</f>
        <v>si</v>
      </c>
      <c r="O132" s="273"/>
      <c r="P132" s="281"/>
      <c r="Q132" s="312"/>
      <c r="R132" s="313"/>
      <c r="S132" s="291"/>
      <c r="T132" s="276"/>
      <c r="U132" s="276"/>
      <c r="V132" s="276"/>
    </row>
    <row r="133" spans="1:22" s="304" customFormat="1" ht="12.75" customHeight="1" x14ac:dyDescent="0.2">
      <c r="A133" s="342"/>
      <c r="B133" s="343"/>
      <c r="C133" s="37"/>
      <c r="D133" s="297"/>
      <c r="E133" s="344"/>
      <c r="F133" s="327">
        <f t="shared" ref="F133:F141" si="31">ROUND(C133*E133,2)</f>
        <v>0</v>
      </c>
      <c r="G133" s="244"/>
      <c r="H133" s="244" t="str">
        <f>IF(A133="","",VLOOKUP(A133,'6.A'!$A$11:$E$8163,5,FALSE))</f>
        <v/>
      </c>
      <c r="I133" s="244" t="str">
        <f t="shared" si="28"/>
        <v/>
      </c>
      <c r="J133" s="244" t="str">
        <f>IF(H133="","",VLOOKUP(A133,'6.A'!$A$11:$E$743,4,FALSE))</f>
        <v/>
      </c>
      <c r="K133" s="244" t="str">
        <f t="shared" si="29"/>
        <v/>
      </c>
      <c r="L133" s="244" t="str">
        <f>IF(H133="","",IF(C133="","",G116*C133))</f>
        <v/>
      </c>
      <c r="M133" s="328" t="str">
        <f>IF(A133="","",VLOOKUP(A133,'6.A'!$A$11:$C$743,2,FALSE))</f>
        <v/>
      </c>
      <c r="N133" s="274" t="str">
        <f t="shared" si="30"/>
        <v/>
      </c>
      <c r="O133" s="273"/>
      <c r="P133" s="273"/>
      <c r="Q133" s="243"/>
      <c r="R133" s="243"/>
      <c r="S133" s="291"/>
      <c r="T133" s="276"/>
      <c r="U133" s="276"/>
      <c r="V133" s="276"/>
    </row>
    <row r="134" spans="1:22" s="304" customFormat="1" ht="12.75" customHeight="1" x14ac:dyDescent="0.2">
      <c r="A134" s="323"/>
      <c r="B134" s="324"/>
      <c r="C134" s="37"/>
      <c r="D134" s="297"/>
      <c r="E134" s="329"/>
      <c r="F134" s="327">
        <f t="shared" si="31"/>
        <v>0</v>
      </c>
      <c r="G134" s="244"/>
      <c r="H134" s="244" t="str">
        <f>IF(A134="","",VLOOKUP(A134,'6.A'!$A$11:$E$8163,5,FALSE))</f>
        <v/>
      </c>
      <c r="I134" s="244" t="str">
        <f t="shared" si="28"/>
        <v/>
      </c>
      <c r="J134" s="244" t="str">
        <f>IF(H134="","",VLOOKUP(A134,'6.A'!$A$11:$E$743,4,FALSE))</f>
        <v/>
      </c>
      <c r="K134" s="244" t="str">
        <f t="shared" si="29"/>
        <v/>
      </c>
      <c r="L134" s="244" t="str">
        <f>IF(H134="","",IF(C134="","",G116*C134))</f>
        <v/>
      </c>
      <c r="M134" s="328" t="str">
        <f>IF(A134="","",VLOOKUP(A134,'6.A'!$A$11:$C$743,2,FALSE))</f>
        <v/>
      </c>
      <c r="N134" s="274" t="str">
        <f t="shared" si="30"/>
        <v/>
      </c>
      <c r="O134" s="273"/>
      <c r="P134" s="273"/>
      <c r="Q134" s="243"/>
      <c r="R134" s="243"/>
      <c r="S134" s="291"/>
      <c r="T134" s="276"/>
      <c r="U134" s="276"/>
      <c r="V134" s="276"/>
    </row>
    <row r="135" spans="1:22" s="304" customFormat="1" ht="12.75" customHeight="1" x14ac:dyDescent="0.2">
      <c r="A135" s="323"/>
      <c r="B135" s="324"/>
      <c r="C135" s="37"/>
      <c r="D135" s="297"/>
      <c r="E135" s="329"/>
      <c r="F135" s="327">
        <f t="shared" si="31"/>
        <v>0</v>
      </c>
      <c r="G135" s="244"/>
      <c r="H135" s="244" t="str">
        <f>IF(A135="","",VLOOKUP(A135,'6.A'!$A$11:$E$8163,5,FALSE))</f>
        <v/>
      </c>
      <c r="I135" s="244" t="str">
        <f t="shared" si="28"/>
        <v/>
      </c>
      <c r="J135" s="244" t="str">
        <f>IF(H135="","",VLOOKUP(A135,'6.A'!$A$11:$E$743,4,FALSE))</f>
        <v/>
      </c>
      <c r="K135" s="244" t="str">
        <f t="shared" si="29"/>
        <v/>
      </c>
      <c r="L135" s="244" t="str">
        <f>IF(H135="","",IF(C135="","",G116*C135))</f>
        <v/>
      </c>
      <c r="M135" s="328" t="str">
        <f>IF(A135="","",VLOOKUP(A135,'6.A'!$A$11:$C$743,2,FALSE))</f>
        <v/>
      </c>
      <c r="N135" s="274" t="str">
        <f t="shared" si="30"/>
        <v/>
      </c>
      <c r="O135" s="273"/>
      <c r="P135" s="273"/>
      <c r="Q135" s="243"/>
      <c r="R135" s="243"/>
      <c r="S135" s="291"/>
      <c r="T135" s="276"/>
      <c r="U135" s="276"/>
      <c r="V135" s="276"/>
    </row>
    <row r="136" spans="1:22" s="304" customFormat="1" ht="12.75" customHeight="1" x14ac:dyDescent="0.2">
      <c r="A136" s="342"/>
      <c r="B136" s="343"/>
      <c r="C136" s="37"/>
      <c r="D136" s="297"/>
      <c r="E136" s="344"/>
      <c r="F136" s="327">
        <f t="shared" si="31"/>
        <v>0</v>
      </c>
      <c r="G136" s="244"/>
      <c r="H136" s="244" t="str">
        <f>IF(A136="","",VLOOKUP(A136,'6.A'!$A$11:$E$8163,5,FALSE))</f>
        <v/>
      </c>
      <c r="I136" s="244" t="str">
        <f t="shared" si="28"/>
        <v/>
      </c>
      <c r="J136" s="244" t="str">
        <f>IF(H136="","",VLOOKUP(A136,'6.A'!$A$11:$E$743,4,FALSE))</f>
        <v/>
      </c>
      <c r="K136" s="244" t="str">
        <f t="shared" si="29"/>
        <v/>
      </c>
      <c r="L136" s="244" t="str">
        <f>IF(H136="","",IF(C136="","",G116*C136))</f>
        <v/>
      </c>
      <c r="M136" s="328" t="str">
        <f>IF(A136="","",VLOOKUP(A136,'6.A'!$A$11:$C$743,2,FALSE))</f>
        <v/>
      </c>
      <c r="N136" s="274" t="str">
        <f t="shared" si="30"/>
        <v/>
      </c>
      <c r="O136" s="273"/>
      <c r="P136" s="273"/>
      <c r="Q136" s="243"/>
      <c r="R136" s="243"/>
      <c r="S136" s="291"/>
      <c r="T136" s="276"/>
      <c r="U136" s="276"/>
      <c r="V136" s="276"/>
    </row>
    <row r="137" spans="1:22" s="304" customFormat="1" ht="12.75" customHeight="1" x14ac:dyDescent="0.2">
      <c r="A137" s="323"/>
      <c r="B137" s="324"/>
      <c r="C137" s="37"/>
      <c r="D137" s="297"/>
      <c r="E137" s="329"/>
      <c r="F137" s="327">
        <f t="shared" si="31"/>
        <v>0</v>
      </c>
      <c r="G137" s="244"/>
      <c r="H137" s="244" t="str">
        <f>IF(A137="","",VLOOKUP(A137,'6.A'!$A$11:$E$8163,5,FALSE))</f>
        <v/>
      </c>
      <c r="I137" s="244" t="str">
        <f t="shared" si="28"/>
        <v/>
      </c>
      <c r="J137" s="244" t="str">
        <f>IF(H137="","",VLOOKUP(A137,'6.A'!$A$11:$E$743,4,FALSE))</f>
        <v/>
      </c>
      <c r="K137" s="244" t="str">
        <f t="shared" si="29"/>
        <v/>
      </c>
      <c r="L137" s="244" t="str">
        <f>IF(H137="","",IF(C137="","",G116*C137))</f>
        <v/>
      </c>
      <c r="M137" s="328" t="str">
        <f>IF(A137="","",VLOOKUP(A137,'6.A'!$A$11:$C$743,2,FALSE))</f>
        <v/>
      </c>
      <c r="N137" s="274" t="str">
        <f t="shared" si="30"/>
        <v/>
      </c>
      <c r="O137" s="273"/>
      <c r="P137" s="273"/>
      <c r="Q137" s="243"/>
      <c r="R137" s="243"/>
      <c r="S137" s="291"/>
      <c r="T137" s="276"/>
      <c r="U137" s="276"/>
      <c r="V137" s="276"/>
    </row>
    <row r="138" spans="1:22" s="304" customFormat="1" ht="12.75" customHeight="1" x14ac:dyDescent="0.2">
      <c r="A138" s="323"/>
      <c r="B138" s="324"/>
      <c r="C138" s="37"/>
      <c r="D138" s="297"/>
      <c r="E138" s="329"/>
      <c r="F138" s="327">
        <f t="shared" si="31"/>
        <v>0</v>
      </c>
      <c r="G138" s="244"/>
      <c r="H138" s="244" t="str">
        <f>IF(A138="","",VLOOKUP(A138,'6.A'!$A$11:$E$8163,5,FALSE))</f>
        <v/>
      </c>
      <c r="I138" s="244" t="str">
        <f t="shared" si="28"/>
        <v/>
      </c>
      <c r="J138" s="244" t="str">
        <f>IF(H138="","",VLOOKUP(A138,'6.A'!$A$11:$E$743,4,FALSE))</f>
        <v/>
      </c>
      <c r="K138" s="244" t="str">
        <f t="shared" si="29"/>
        <v/>
      </c>
      <c r="L138" s="244" t="str">
        <f>IF(H138="","",IF(C138="","",G116*C138))</f>
        <v/>
      </c>
      <c r="M138" s="328" t="str">
        <f>IF(A138="","",VLOOKUP(A138,'6.A'!$A$11:$C$743,2,FALSE))</f>
        <v/>
      </c>
      <c r="N138" s="274" t="str">
        <f t="shared" si="30"/>
        <v/>
      </c>
      <c r="O138" s="273"/>
      <c r="P138" s="273"/>
      <c r="Q138" s="243"/>
      <c r="R138" s="243"/>
      <c r="S138" s="291"/>
      <c r="T138" s="276"/>
      <c r="U138" s="276"/>
      <c r="V138" s="276"/>
    </row>
    <row r="139" spans="1:22" s="304" customFormat="1" ht="12.75" customHeight="1" x14ac:dyDescent="0.2">
      <c r="A139" s="323"/>
      <c r="B139" s="324"/>
      <c r="C139" s="37"/>
      <c r="D139" s="297"/>
      <c r="E139" s="329"/>
      <c r="F139" s="327">
        <f t="shared" si="31"/>
        <v>0</v>
      </c>
      <c r="G139" s="244"/>
      <c r="H139" s="244" t="str">
        <f>IF(A139="","",VLOOKUP(A139,'6.A'!$A$11:$E$8163,5,FALSE))</f>
        <v/>
      </c>
      <c r="I139" s="244" t="str">
        <f t="shared" si="28"/>
        <v/>
      </c>
      <c r="J139" s="244" t="str">
        <f>IF(H139="","",VLOOKUP(A139,'6.A'!$A$11:$E$743,4,FALSE))</f>
        <v/>
      </c>
      <c r="K139" s="244" t="str">
        <f t="shared" si="29"/>
        <v/>
      </c>
      <c r="L139" s="244" t="str">
        <f>IF(H139="","",IF(C139="","",G116*C139))</f>
        <v/>
      </c>
      <c r="M139" s="328" t="str">
        <f>IF(A139="","",VLOOKUP(A139,'6.A'!$A$11:$C$743,2,FALSE))</f>
        <v/>
      </c>
      <c r="N139" s="274" t="str">
        <f t="shared" si="30"/>
        <v/>
      </c>
      <c r="O139" s="273"/>
      <c r="P139" s="273"/>
      <c r="Q139" s="243"/>
      <c r="R139" s="243"/>
      <c r="S139" s="291"/>
      <c r="T139" s="276"/>
      <c r="U139" s="276"/>
      <c r="V139" s="276"/>
    </row>
    <row r="140" spans="1:22" s="304" customFormat="1" ht="12.75" customHeight="1" x14ac:dyDescent="0.2">
      <c r="A140" s="342"/>
      <c r="B140" s="343"/>
      <c r="C140" s="23"/>
      <c r="D140" s="297"/>
      <c r="E140" s="344"/>
      <c r="F140" s="327">
        <f t="shared" si="31"/>
        <v>0</v>
      </c>
      <c r="G140" s="244"/>
      <c r="H140" s="244" t="str">
        <f>IF(A140="","",VLOOKUP(A140,'6.A'!$A$11:$E$8163,5,FALSE))</f>
        <v/>
      </c>
      <c r="I140" s="244" t="str">
        <f t="shared" si="28"/>
        <v/>
      </c>
      <c r="J140" s="244" t="str">
        <f>IF(H140="","",VLOOKUP(A140,'6.A'!$A$11:$E$743,4,FALSE))</f>
        <v/>
      </c>
      <c r="K140" s="244" t="str">
        <f t="shared" si="29"/>
        <v/>
      </c>
      <c r="L140" s="244" t="str">
        <f>IF(H140="","",IF(C140="","",G116*C140))</f>
        <v/>
      </c>
      <c r="M140" s="328" t="str">
        <f>IF(A140="","",VLOOKUP(A140,'6.A'!$A$11:$C$743,2,FALSE))</f>
        <v/>
      </c>
      <c r="N140" s="274" t="str">
        <f t="shared" si="30"/>
        <v/>
      </c>
      <c r="O140" s="273"/>
      <c r="P140" s="273"/>
      <c r="Q140" s="243"/>
      <c r="R140" s="243"/>
      <c r="S140" s="291"/>
      <c r="T140" s="276"/>
      <c r="U140" s="276"/>
      <c r="V140" s="276"/>
    </row>
    <row r="141" spans="1:22" s="304" customFormat="1" ht="12.75" customHeight="1" x14ac:dyDescent="0.2">
      <c r="A141" s="323"/>
      <c r="B141" s="324"/>
      <c r="C141" s="37"/>
      <c r="D141" s="297"/>
      <c r="E141" s="329"/>
      <c r="F141" s="327">
        <f t="shared" si="31"/>
        <v>0</v>
      </c>
      <c r="G141" s="244"/>
      <c r="H141" s="244" t="str">
        <f>IF(A141="","",VLOOKUP(A141,'6.A'!$A$11:$E$8163,5,FALSE))</f>
        <v/>
      </c>
      <c r="I141" s="244" t="str">
        <f t="shared" si="28"/>
        <v/>
      </c>
      <c r="J141" s="244" t="str">
        <f>IF(H141="","",VLOOKUP(A141,'6.A'!$A$11:$E$743,4,FALSE))</f>
        <v/>
      </c>
      <c r="K141" s="244" t="str">
        <f t="shared" si="29"/>
        <v/>
      </c>
      <c r="L141" s="244" t="str">
        <f>IF(H141="","",IF(C141="","",G116*C141))</f>
        <v/>
      </c>
      <c r="M141" s="328" t="str">
        <f>IF(A141="","",VLOOKUP(A141,'6.A'!$A$11:$C$743,2,FALSE))</f>
        <v/>
      </c>
      <c r="N141" s="274" t="str">
        <f t="shared" si="30"/>
        <v/>
      </c>
      <c r="O141" s="273"/>
      <c r="P141" s="273"/>
      <c r="Q141" s="243"/>
      <c r="R141" s="243"/>
      <c r="S141" s="291"/>
      <c r="T141" s="276"/>
      <c r="U141" s="276"/>
      <c r="V141" s="276"/>
    </row>
    <row r="142" spans="1:22" s="304" customFormat="1" ht="12.75" customHeight="1" x14ac:dyDescent="0.2">
      <c r="A142" s="323"/>
      <c r="B142" s="331" t="str">
        <f>$A$9</f>
        <v>BDI - M.O / SERV. / MAT. COMUNS</v>
      </c>
      <c r="C142" s="3">
        <f>$C$9</f>
        <v>0</v>
      </c>
      <c r="D142" s="297"/>
      <c r="E142" s="298"/>
      <c r="F142" s="332">
        <f>ROUND(SUM(F132:F141)*C142,2)</f>
        <v>0</v>
      </c>
      <c r="G142" s="333"/>
      <c r="H142" s="244"/>
      <c r="I142" s="274"/>
      <c r="J142" s="274"/>
      <c r="K142" s="274"/>
      <c r="L142" s="244"/>
      <c r="M142" s="334"/>
      <c r="N142" s="274"/>
      <c r="O142" s="273"/>
      <c r="P142" s="273"/>
      <c r="Q142" s="243"/>
      <c r="R142" s="243"/>
      <c r="S142" s="291"/>
      <c r="T142" s="276"/>
      <c r="U142" s="276"/>
      <c r="V142" s="276"/>
    </row>
    <row r="143" spans="1:22" s="304" customFormat="1" ht="12.75" customHeight="1" x14ac:dyDescent="0.2">
      <c r="A143" s="336"/>
      <c r="B143" s="345" t="s">
        <v>108</v>
      </c>
      <c r="C143" s="346"/>
      <c r="D143" s="347"/>
      <c r="E143" s="348"/>
      <c r="F143" s="341">
        <f>ROUND(SUM(F132:F142),2)</f>
        <v>0</v>
      </c>
      <c r="G143" s="333"/>
      <c r="H143" s="244"/>
      <c r="I143" s="274"/>
      <c r="J143" s="274"/>
      <c r="K143" s="274"/>
      <c r="L143" s="244"/>
      <c r="M143" s="334"/>
      <c r="N143" s="274"/>
      <c r="O143" s="273"/>
      <c r="P143" s="273"/>
      <c r="Q143" s="243"/>
      <c r="R143" s="243"/>
      <c r="S143" s="291"/>
      <c r="T143" s="276"/>
      <c r="U143" s="276"/>
      <c r="V143" s="276"/>
    </row>
    <row r="144" spans="1:22" s="304" customFormat="1" ht="12.75" customHeight="1" x14ac:dyDescent="0.2">
      <c r="A144" s="317" t="s">
        <v>6</v>
      </c>
      <c r="B144" s="318" t="s">
        <v>20</v>
      </c>
      <c r="C144" s="319" t="s">
        <v>55</v>
      </c>
      <c r="D144" s="319" t="s">
        <v>19</v>
      </c>
      <c r="E144" s="320" t="s">
        <v>56</v>
      </c>
      <c r="F144" s="321" t="s">
        <v>57</v>
      </c>
      <c r="G144" s="322"/>
      <c r="H144" s="244"/>
      <c r="I144" s="274"/>
      <c r="J144" s="274"/>
      <c r="K144" s="274"/>
      <c r="L144" s="244"/>
      <c r="M144" s="334"/>
      <c r="N144" s="274"/>
      <c r="O144" s="273"/>
      <c r="P144" s="273"/>
      <c r="Q144" s="243"/>
      <c r="R144" s="243"/>
      <c r="S144" s="291"/>
      <c r="T144" s="276"/>
      <c r="U144" s="276"/>
      <c r="V144" s="276"/>
    </row>
    <row r="145" spans="1:22" s="304" customFormat="1" ht="12.75" customHeight="1" x14ac:dyDescent="0.2">
      <c r="A145" s="323"/>
      <c r="B145" s="324"/>
      <c r="C145" s="37"/>
      <c r="D145" s="297"/>
      <c r="E145" s="329"/>
      <c r="F145" s="327">
        <f t="shared" ref="F145:F164" si="32">ROUND(C145*E145,2)</f>
        <v>0</v>
      </c>
      <c r="G145" s="244"/>
      <c r="H145" s="244" t="str">
        <f>IF(A145="","",VLOOKUP(A145,'6.A'!$A$11:$E$8163,5,FALSE))</f>
        <v/>
      </c>
      <c r="I145" s="244" t="str">
        <f t="shared" ref="I145:I164" si="33">IF(H145="","",IF(E145=H145,"SIM","NÃO"))</f>
        <v/>
      </c>
      <c r="J145" s="244" t="str">
        <f>IF(H145="","",VLOOKUP(A145,'6.A'!$A$11:$E$743,4,FALSE))</f>
        <v/>
      </c>
      <c r="K145" s="244" t="str">
        <f t="shared" ref="K145:K164" si="34">IF(H145="","",IF(J145=D145,"SIM","NÃO"))</f>
        <v/>
      </c>
      <c r="L145" s="244" t="str">
        <f>IF(H145="","",IF(C145="","",G116*C145))</f>
        <v/>
      </c>
      <c r="M145" s="328" t="str">
        <f>IF(A145="","",VLOOKUP(A145,'6.A'!$A$11:$C$743,2,FALSE))</f>
        <v/>
      </c>
      <c r="N145" s="274" t="str">
        <f t="shared" ref="N145:N164" si="35">IF(A145="","",IF(M145=B145,"si","no"))</f>
        <v/>
      </c>
      <c r="O145" s="273"/>
      <c r="P145" s="273"/>
      <c r="Q145" s="243"/>
      <c r="R145" s="243"/>
      <c r="S145" s="291"/>
      <c r="T145" s="276"/>
      <c r="U145" s="276"/>
      <c r="V145" s="276"/>
    </row>
    <row r="146" spans="1:22" s="304" customFormat="1" ht="12.75" customHeight="1" x14ac:dyDescent="0.2">
      <c r="A146" s="323"/>
      <c r="B146" s="324"/>
      <c r="C146" s="37"/>
      <c r="D146" s="297"/>
      <c r="E146" s="329"/>
      <c r="F146" s="327">
        <f t="shared" si="32"/>
        <v>0</v>
      </c>
      <c r="G146" s="244"/>
      <c r="H146" s="244" t="str">
        <f>IF(A146="","",VLOOKUP(A146,'6.A'!$A$11:$E$8163,5,FALSE))</f>
        <v/>
      </c>
      <c r="I146" s="244" t="str">
        <f t="shared" si="33"/>
        <v/>
      </c>
      <c r="J146" s="244" t="str">
        <f>IF(H146="","",VLOOKUP(A146,'6.A'!$A$11:$E$743,4,FALSE))</f>
        <v/>
      </c>
      <c r="K146" s="244" t="str">
        <f t="shared" si="34"/>
        <v/>
      </c>
      <c r="L146" s="244" t="str">
        <f>IF(H146="","",IF(C146="","",G116*C146))</f>
        <v/>
      </c>
      <c r="M146" s="328" t="str">
        <f>IF(A146="","",VLOOKUP(A146,'6.A'!$A$11:$C$743,2,FALSE))</f>
        <v/>
      </c>
      <c r="N146" s="274" t="str">
        <f t="shared" si="35"/>
        <v/>
      </c>
      <c r="O146" s="273"/>
      <c r="P146" s="273"/>
      <c r="Q146" s="243"/>
      <c r="R146" s="243"/>
      <c r="S146" s="291"/>
      <c r="T146" s="276"/>
      <c r="U146" s="276"/>
      <c r="V146" s="276"/>
    </row>
    <row r="147" spans="1:22" s="304" customFormat="1" ht="12.75" customHeight="1" x14ac:dyDescent="0.2">
      <c r="A147" s="323"/>
      <c r="B147" s="324"/>
      <c r="C147" s="37"/>
      <c r="D147" s="297"/>
      <c r="E147" s="329"/>
      <c r="F147" s="327">
        <f t="shared" si="32"/>
        <v>0</v>
      </c>
      <c r="G147" s="244"/>
      <c r="H147" s="244" t="str">
        <f>IF(A147="","",VLOOKUP(A147,'6.A'!$A$11:$E$8163,5,FALSE))</f>
        <v/>
      </c>
      <c r="I147" s="244" t="str">
        <f t="shared" si="33"/>
        <v/>
      </c>
      <c r="J147" s="244" t="str">
        <f>IF(H147="","",VLOOKUP(A147,'6.A'!$A$11:$E$743,4,FALSE))</f>
        <v/>
      </c>
      <c r="K147" s="244" t="str">
        <f t="shared" si="34"/>
        <v/>
      </c>
      <c r="L147" s="244" t="str">
        <f>IF(H147="","",IF(C147="","",G116*C147))</f>
        <v/>
      </c>
      <c r="M147" s="328" t="str">
        <f>IF(A147="","",VLOOKUP(A147,'6.A'!$A$11:$C$743,2,FALSE))</f>
        <v/>
      </c>
      <c r="N147" s="274" t="str">
        <f t="shared" si="35"/>
        <v/>
      </c>
      <c r="O147" s="273"/>
      <c r="P147" s="273"/>
      <c r="Q147" s="243"/>
      <c r="R147" s="243"/>
      <c r="S147" s="291"/>
      <c r="T147" s="276"/>
      <c r="U147" s="276"/>
      <c r="V147" s="276"/>
    </row>
    <row r="148" spans="1:22" s="304" customFormat="1" ht="12.75" customHeight="1" x14ac:dyDescent="0.2">
      <c r="A148" s="323"/>
      <c r="B148" s="324"/>
      <c r="C148" s="37"/>
      <c r="D148" s="297"/>
      <c r="E148" s="329"/>
      <c r="F148" s="327">
        <f t="shared" si="32"/>
        <v>0</v>
      </c>
      <c r="G148" s="244"/>
      <c r="H148" s="244" t="str">
        <f>IF(A148="","",VLOOKUP(A148,'6.A'!$A$11:$E$8163,5,FALSE))</f>
        <v/>
      </c>
      <c r="I148" s="244" t="str">
        <f t="shared" si="33"/>
        <v/>
      </c>
      <c r="J148" s="244" t="str">
        <f>IF(H148="","",VLOOKUP(A148,'6.A'!$A$11:$E$743,4,FALSE))</f>
        <v/>
      </c>
      <c r="K148" s="244" t="str">
        <f t="shared" si="34"/>
        <v/>
      </c>
      <c r="L148" s="244" t="str">
        <f>IF(H148="","",IF(C148="","",G116*C148))</f>
        <v/>
      </c>
      <c r="M148" s="328" t="str">
        <f>IF(A148="","",VLOOKUP(A148,'6.A'!$A$11:$C$743,2,FALSE))</f>
        <v/>
      </c>
      <c r="N148" s="274" t="str">
        <f t="shared" si="35"/>
        <v/>
      </c>
      <c r="O148" s="273"/>
      <c r="P148" s="273"/>
      <c r="Q148" s="243"/>
      <c r="R148" s="243"/>
      <c r="S148" s="291"/>
      <c r="T148" s="276"/>
      <c r="U148" s="276"/>
      <c r="V148" s="276"/>
    </row>
    <row r="149" spans="1:22" s="304" customFormat="1" ht="12.75" customHeight="1" x14ac:dyDescent="0.2">
      <c r="A149" s="323"/>
      <c r="B149" s="324"/>
      <c r="C149" s="37"/>
      <c r="D149" s="297"/>
      <c r="E149" s="329"/>
      <c r="F149" s="327">
        <f t="shared" si="32"/>
        <v>0</v>
      </c>
      <c r="G149" s="244"/>
      <c r="H149" s="244" t="str">
        <f>IF(A149="","",VLOOKUP(A149,'6.A'!$A$11:$E$8163,5,FALSE))</f>
        <v/>
      </c>
      <c r="I149" s="244" t="str">
        <f t="shared" si="33"/>
        <v/>
      </c>
      <c r="J149" s="244" t="str">
        <f>IF(H149="","",VLOOKUP(A149,'6.A'!$A$11:$E$743,4,FALSE))</f>
        <v/>
      </c>
      <c r="K149" s="244" t="str">
        <f t="shared" si="34"/>
        <v/>
      </c>
      <c r="L149" s="244" t="str">
        <f>IF(H149="","",IF(C149="","",G116*C149))</f>
        <v/>
      </c>
      <c r="M149" s="328" t="str">
        <f>IF(A149="","",VLOOKUP(A149,'6.A'!$A$11:$C$743,2,FALSE))</f>
        <v/>
      </c>
      <c r="N149" s="274" t="str">
        <f t="shared" si="35"/>
        <v/>
      </c>
      <c r="O149" s="273"/>
      <c r="P149" s="273"/>
      <c r="Q149" s="243"/>
      <c r="R149" s="243"/>
      <c r="S149" s="291"/>
      <c r="T149" s="276"/>
      <c r="U149" s="276"/>
      <c r="V149" s="276"/>
    </row>
    <row r="150" spans="1:22" s="304" customFormat="1" ht="12.75" customHeight="1" x14ac:dyDescent="0.2">
      <c r="A150" s="323"/>
      <c r="B150" s="324"/>
      <c r="C150" s="37"/>
      <c r="D150" s="297"/>
      <c r="E150" s="329"/>
      <c r="F150" s="327">
        <f t="shared" si="32"/>
        <v>0</v>
      </c>
      <c r="G150" s="244"/>
      <c r="H150" s="244" t="str">
        <f>IF(A150="","",VLOOKUP(A150,'6.A'!$A$11:$E$8163,5,FALSE))</f>
        <v/>
      </c>
      <c r="I150" s="244" t="str">
        <f t="shared" si="33"/>
        <v/>
      </c>
      <c r="J150" s="244" t="str">
        <f>IF(H150="","",VLOOKUP(A150,'6.A'!$A$11:$E$743,4,FALSE))</f>
        <v/>
      </c>
      <c r="K150" s="244" t="str">
        <f t="shared" si="34"/>
        <v/>
      </c>
      <c r="L150" s="244" t="str">
        <f>IF(H150="","",IF(C150="","",G116*C150))</f>
        <v/>
      </c>
      <c r="M150" s="328" t="str">
        <f>IF(A150="","",VLOOKUP(A150,'6.A'!$A$11:$C$743,2,FALSE))</f>
        <v/>
      </c>
      <c r="N150" s="274" t="str">
        <f t="shared" si="35"/>
        <v/>
      </c>
      <c r="O150" s="273"/>
      <c r="P150" s="273"/>
      <c r="Q150" s="243"/>
      <c r="R150" s="243"/>
      <c r="S150" s="291"/>
      <c r="T150" s="276"/>
      <c r="U150" s="276"/>
      <c r="V150" s="276"/>
    </row>
    <row r="151" spans="1:22" s="304" customFormat="1" ht="12.75" customHeight="1" x14ac:dyDescent="0.2">
      <c r="A151" s="323"/>
      <c r="B151" s="324"/>
      <c r="C151" s="37"/>
      <c r="D151" s="297"/>
      <c r="E151" s="329"/>
      <c r="F151" s="327">
        <f t="shared" si="32"/>
        <v>0</v>
      </c>
      <c r="G151" s="244"/>
      <c r="H151" s="244" t="str">
        <f>IF(A151="","",VLOOKUP(A151,'6.A'!$A$11:$E$8163,5,FALSE))</f>
        <v/>
      </c>
      <c r="I151" s="244" t="str">
        <f t="shared" si="33"/>
        <v/>
      </c>
      <c r="J151" s="244" t="str">
        <f>IF(H151="","",VLOOKUP(A151,'6.A'!$A$11:$E$743,4,FALSE))</f>
        <v/>
      </c>
      <c r="K151" s="244" t="str">
        <f t="shared" si="34"/>
        <v/>
      </c>
      <c r="L151" s="244" t="str">
        <f>IF(H151="","",IF(C151="","",G116*C151))</f>
        <v/>
      </c>
      <c r="M151" s="328" t="str">
        <f>IF(A151="","",VLOOKUP(A151,'6.A'!$A$11:$C$743,2,FALSE))</f>
        <v/>
      </c>
      <c r="N151" s="274" t="str">
        <f t="shared" si="35"/>
        <v/>
      </c>
      <c r="O151" s="273"/>
      <c r="P151" s="273"/>
      <c r="Q151" s="243"/>
      <c r="R151" s="243"/>
      <c r="S151" s="291"/>
      <c r="T151" s="276"/>
      <c r="U151" s="276"/>
      <c r="V151" s="276"/>
    </row>
    <row r="152" spans="1:22" s="304" customFormat="1" ht="12.75" customHeight="1" x14ac:dyDescent="0.2">
      <c r="A152" s="323"/>
      <c r="B152" s="324"/>
      <c r="C152" s="37"/>
      <c r="D152" s="297"/>
      <c r="E152" s="329"/>
      <c r="F152" s="327">
        <f t="shared" si="32"/>
        <v>0</v>
      </c>
      <c r="G152" s="244"/>
      <c r="H152" s="244" t="str">
        <f>IF(A152="","",VLOOKUP(A152,'6.A'!$A$11:$E$8163,5,FALSE))</f>
        <v/>
      </c>
      <c r="I152" s="244" t="str">
        <f t="shared" si="33"/>
        <v/>
      </c>
      <c r="J152" s="244" t="str">
        <f>IF(H152="","",VLOOKUP(A152,'6.A'!$A$11:$E$743,4,FALSE))</f>
        <v/>
      </c>
      <c r="K152" s="244" t="str">
        <f t="shared" si="34"/>
        <v/>
      </c>
      <c r="L152" s="244" t="str">
        <f>IF(H152="","",IF(C152="","",G116*C152))</f>
        <v/>
      </c>
      <c r="M152" s="328" t="str">
        <f>IF(A152="","",VLOOKUP(A152,'6.A'!$A$11:$C$743,2,FALSE))</f>
        <v/>
      </c>
      <c r="N152" s="274" t="str">
        <f t="shared" si="35"/>
        <v/>
      </c>
      <c r="O152" s="273"/>
      <c r="P152" s="273"/>
      <c r="Q152" s="243"/>
      <c r="R152" s="243"/>
      <c r="S152" s="291"/>
      <c r="T152" s="276"/>
      <c r="U152" s="276"/>
      <c r="V152" s="276"/>
    </row>
    <row r="153" spans="1:22" s="304" customFormat="1" ht="12.75" customHeight="1" x14ac:dyDescent="0.2">
      <c r="A153" s="323"/>
      <c r="B153" s="324"/>
      <c r="C153" s="37"/>
      <c r="D153" s="297"/>
      <c r="E153" s="329"/>
      <c r="F153" s="327">
        <f t="shared" si="32"/>
        <v>0</v>
      </c>
      <c r="G153" s="244"/>
      <c r="H153" s="244" t="str">
        <f>IF(A153="","",VLOOKUP(A153,'6.A'!$A$11:$E$8163,5,FALSE))</f>
        <v/>
      </c>
      <c r="I153" s="244" t="str">
        <f t="shared" si="33"/>
        <v/>
      </c>
      <c r="J153" s="244" t="str">
        <f>IF(H153="","",VLOOKUP(A153,'6.A'!$A$11:$E$743,4,FALSE))</f>
        <v/>
      </c>
      <c r="K153" s="244" t="str">
        <f t="shared" si="34"/>
        <v/>
      </c>
      <c r="L153" s="244" t="str">
        <f>IF(H153="","",IF(C153="","",G116*C153))</f>
        <v/>
      </c>
      <c r="M153" s="328" t="str">
        <f>IF(A153="","",VLOOKUP(A153,'6.A'!$A$11:$C$743,2,FALSE))</f>
        <v/>
      </c>
      <c r="N153" s="274" t="str">
        <f t="shared" si="35"/>
        <v/>
      </c>
      <c r="O153" s="273"/>
      <c r="P153" s="273"/>
      <c r="Q153" s="243"/>
      <c r="R153" s="243"/>
      <c r="S153" s="291"/>
      <c r="T153" s="276"/>
      <c r="U153" s="276"/>
      <c r="V153" s="276"/>
    </row>
    <row r="154" spans="1:22" s="304" customFormat="1" ht="12.75" customHeight="1" x14ac:dyDescent="0.2">
      <c r="A154" s="323"/>
      <c r="B154" s="324"/>
      <c r="C154" s="37"/>
      <c r="D154" s="297"/>
      <c r="E154" s="329"/>
      <c r="F154" s="327">
        <f t="shared" si="32"/>
        <v>0</v>
      </c>
      <c r="G154" s="244"/>
      <c r="H154" s="244" t="str">
        <f>IF(A154="","",VLOOKUP(A154,'6.A'!$A$11:$E$8163,5,FALSE))</f>
        <v/>
      </c>
      <c r="I154" s="244" t="str">
        <f t="shared" si="33"/>
        <v/>
      </c>
      <c r="J154" s="244" t="str">
        <f>IF(H154="","",VLOOKUP(A154,'6.A'!$A$11:$E$743,4,FALSE))</f>
        <v/>
      </c>
      <c r="K154" s="244" t="str">
        <f t="shared" si="34"/>
        <v/>
      </c>
      <c r="L154" s="244" t="str">
        <f>IF(H154="","",IF(C154="","",G116*C154))</f>
        <v/>
      </c>
      <c r="M154" s="328" t="str">
        <f>IF(A154="","",VLOOKUP(A154,'6.A'!$A$11:$C$743,2,FALSE))</f>
        <v/>
      </c>
      <c r="N154" s="274" t="str">
        <f t="shared" si="35"/>
        <v/>
      </c>
      <c r="O154" s="273"/>
      <c r="P154" s="273"/>
      <c r="Q154" s="243"/>
      <c r="R154" s="243"/>
      <c r="S154" s="291"/>
      <c r="T154" s="276"/>
      <c r="U154" s="276"/>
      <c r="V154" s="276"/>
    </row>
    <row r="155" spans="1:22" s="304" customFormat="1" ht="12.75" customHeight="1" x14ac:dyDescent="0.2">
      <c r="A155" s="323"/>
      <c r="B155" s="324"/>
      <c r="C155" s="37"/>
      <c r="D155" s="297"/>
      <c r="E155" s="329"/>
      <c r="F155" s="327">
        <f t="shared" si="32"/>
        <v>0</v>
      </c>
      <c r="G155" s="244"/>
      <c r="H155" s="244" t="str">
        <f>IF(A155="","",VLOOKUP(A155,'6.A'!$A$11:$E$8163,5,FALSE))</f>
        <v/>
      </c>
      <c r="I155" s="244" t="str">
        <f t="shared" si="33"/>
        <v/>
      </c>
      <c r="J155" s="244" t="str">
        <f>IF(H155="","",VLOOKUP(A155,'6.A'!$A$11:$E$743,4,FALSE))</f>
        <v/>
      </c>
      <c r="K155" s="244" t="str">
        <f t="shared" si="34"/>
        <v/>
      </c>
      <c r="L155" s="244" t="str">
        <f>IF(H155="","",IF(C155="","",G116*C155))</f>
        <v/>
      </c>
      <c r="M155" s="328" t="str">
        <f>IF(A155="","",VLOOKUP(A155,'6.A'!$A$11:$C$743,2,FALSE))</f>
        <v/>
      </c>
      <c r="N155" s="274" t="str">
        <f t="shared" si="35"/>
        <v/>
      </c>
      <c r="O155" s="273"/>
      <c r="P155" s="273"/>
      <c r="Q155" s="243"/>
      <c r="R155" s="243"/>
      <c r="S155" s="291"/>
      <c r="T155" s="276"/>
      <c r="U155" s="276"/>
      <c r="V155" s="276"/>
    </row>
    <row r="156" spans="1:22" s="305" customFormat="1" ht="12.75" customHeight="1" x14ac:dyDescent="0.2">
      <c r="A156" s="323"/>
      <c r="B156" s="324"/>
      <c r="C156" s="37"/>
      <c r="D156" s="297"/>
      <c r="E156" s="329"/>
      <c r="F156" s="327">
        <f t="shared" si="32"/>
        <v>0</v>
      </c>
      <c r="G156" s="244"/>
      <c r="H156" s="244" t="str">
        <f>IF(A156="","",VLOOKUP(A156,'6.A'!$A$11:$E$8163,5,FALSE))</f>
        <v/>
      </c>
      <c r="I156" s="244" t="str">
        <f t="shared" si="33"/>
        <v/>
      </c>
      <c r="J156" s="244" t="str">
        <f>IF(H156="","",VLOOKUP(A156,'6.A'!$A$11:$E$743,4,FALSE))</f>
        <v/>
      </c>
      <c r="K156" s="244" t="str">
        <f t="shared" si="34"/>
        <v/>
      </c>
      <c r="L156" s="244" t="str">
        <f>IF(H156="","",IF(C156="","",G116*C156))</f>
        <v/>
      </c>
      <c r="M156" s="328" t="str">
        <f>IF(A156="","",VLOOKUP(A156,'6.A'!$A$11:$C$743,2,FALSE))</f>
        <v/>
      </c>
      <c r="N156" s="274" t="str">
        <f t="shared" si="35"/>
        <v/>
      </c>
      <c r="O156" s="273"/>
      <c r="P156" s="273"/>
      <c r="Q156" s="243"/>
      <c r="R156" s="243"/>
      <c r="S156" s="291"/>
      <c r="T156" s="276"/>
      <c r="U156" s="276"/>
      <c r="V156" s="276"/>
    </row>
    <row r="157" spans="1:22" s="305" customFormat="1" ht="12.75" customHeight="1" x14ac:dyDescent="0.2">
      <c r="A157" s="323"/>
      <c r="B157" s="324"/>
      <c r="C157" s="37"/>
      <c r="D157" s="297"/>
      <c r="E157" s="329"/>
      <c r="F157" s="327">
        <f t="shared" si="32"/>
        <v>0</v>
      </c>
      <c r="G157" s="244"/>
      <c r="H157" s="244" t="str">
        <f>IF(A157="","",VLOOKUP(A157,'6.A'!$A$11:$E$8163,5,FALSE))</f>
        <v/>
      </c>
      <c r="I157" s="244" t="str">
        <f t="shared" si="33"/>
        <v/>
      </c>
      <c r="J157" s="244" t="str">
        <f>IF(H157="","",VLOOKUP(A157,'6.A'!$A$11:$E$743,4,FALSE))</f>
        <v/>
      </c>
      <c r="K157" s="244" t="str">
        <f t="shared" si="34"/>
        <v/>
      </c>
      <c r="L157" s="244" t="str">
        <f>IF(H157="","",IF(C157="","",G116*C157))</f>
        <v/>
      </c>
      <c r="M157" s="328" t="str">
        <f>IF(A157="","",VLOOKUP(A157,'6.A'!$A$11:$C$743,2,FALSE))</f>
        <v/>
      </c>
      <c r="N157" s="274" t="str">
        <f t="shared" si="35"/>
        <v/>
      </c>
      <c r="O157" s="273"/>
      <c r="P157" s="273"/>
      <c r="Q157" s="243"/>
      <c r="R157" s="243"/>
      <c r="S157" s="291"/>
      <c r="T157" s="276"/>
      <c r="U157" s="276"/>
      <c r="V157" s="276"/>
    </row>
    <row r="158" spans="1:22" s="305" customFormat="1" ht="12.75" customHeight="1" x14ac:dyDescent="0.2">
      <c r="A158" s="323"/>
      <c r="B158" s="324"/>
      <c r="C158" s="37"/>
      <c r="D158" s="297"/>
      <c r="E158" s="329"/>
      <c r="F158" s="327">
        <f t="shared" si="32"/>
        <v>0</v>
      </c>
      <c r="G158" s="244"/>
      <c r="H158" s="244" t="str">
        <f>IF(A158="","",VLOOKUP(A158,'6.A'!$A$11:$E$8163,5,FALSE))</f>
        <v/>
      </c>
      <c r="I158" s="244" t="str">
        <f t="shared" si="33"/>
        <v/>
      </c>
      <c r="J158" s="244" t="str">
        <f>IF(H158="","",VLOOKUP(A158,'6.A'!$A$11:$E$743,4,FALSE))</f>
        <v/>
      </c>
      <c r="K158" s="244" t="str">
        <f t="shared" si="34"/>
        <v/>
      </c>
      <c r="L158" s="244" t="str">
        <f>IF(H158="","",IF(C158="","",G116*C158))</f>
        <v/>
      </c>
      <c r="M158" s="328" t="str">
        <f>IF(A158="","",VLOOKUP(A158,'6.A'!$A$11:$C$743,2,FALSE))</f>
        <v/>
      </c>
      <c r="N158" s="274" t="str">
        <f t="shared" si="35"/>
        <v/>
      </c>
      <c r="O158" s="273"/>
      <c r="P158" s="273"/>
      <c r="Q158" s="243"/>
      <c r="R158" s="243"/>
      <c r="S158" s="291"/>
      <c r="T158" s="276"/>
      <c r="U158" s="276"/>
      <c r="V158" s="276"/>
    </row>
    <row r="159" spans="1:22" s="305" customFormat="1" ht="12.75" customHeight="1" x14ac:dyDescent="0.2">
      <c r="A159" s="323"/>
      <c r="B159" s="324"/>
      <c r="C159" s="37"/>
      <c r="D159" s="297"/>
      <c r="E159" s="329"/>
      <c r="F159" s="327">
        <f t="shared" si="32"/>
        <v>0</v>
      </c>
      <c r="G159" s="244"/>
      <c r="H159" s="244" t="str">
        <f>IF(A159="","",VLOOKUP(A159,'6.A'!$A$11:$E$8163,5,FALSE))</f>
        <v/>
      </c>
      <c r="I159" s="244" t="str">
        <f t="shared" si="33"/>
        <v/>
      </c>
      <c r="J159" s="244" t="str">
        <f>IF(H159="","",VLOOKUP(A159,'6.A'!$A$11:$E$743,4,FALSE))</f>
        <v/>
      </c>
      <c r="K159" s="244" t="str">
        <f t="shared" si="34"/>
        <v/>
      </c>
      <c r="L159" s="244" t="str">
        <f>IF(H159="","",IF(C159="","",G116*C159))</f>
        <v/>
      </c>
      <c r="M159" s="328" t="str">
        <f>IF(A159="","",VLOOKUP(A159,'6.A'!$A$11:$C$743,2,FALSE))</f>
        <v/>
      </c>
      <c r="N159" s="274" t="str">
        <f t="shared" si="35"/>
        <v/>
      </c>
      <c r="O159" s="273"/>
      <c r="P159" s="273"/>
      <c r="Q159" s="243"/>
      <c r="R159" s="243"/>
      <c r="S159" s="291"/>
      <c r="T159" s="276"/>
      <c r="U159" s="276"/>
      <c r="V159" s="276"/>
    </row>
    <row r="160" spans="1:22" s="305" customFormat="1" ht="12.75" customHeight="1" x14ac:dyDescent="0.2">
      <c r="A160" s="323"/>
      <c r="B160" s="324"/>
      <c r="C160" s="37"/>
      <c r="D160" s="297"/>
      <c r="E160" s="329"/>
      <c r="F160" s="327">
        <f t="shared" si="32"/>
        <v>0</v>
      </c>
      <c r="G160" s="244"/>
      <c r="H160" s="244" t="str">
        <f>IF(A160="","",VLOOKUP(A160,'6.A'!$A$11:$E$8163,5,FALSE))</f>
        <v/>
      </c>
      <c r="I160" s="244" t="str">
        <f t="shared" si="33"/>
        <v/>
      </c>
      <c r="J160" s="244" t="str">
        <f>IF(H160="","",VLOOKUP(A160,'6.A'!$A$11:$E$743,4,FALSE))</f>
        <v/>
      </c>
      <c r="K160" s="244" t="str">
        <f t="shared" si="34"/>
        <v/>
      </c>
      <c r="L160" s="244" t="str">
        <f>IF(H160="","",IF(C160="","",G116*C160))</f>
        <v/>
      </c>
      <c r="M160" s="328" t="str">
        <f>IF(A160="","",VLOOKUP(A160,'6.A'!$A$11:$C$743,2,FALSE))</f>
        <v/>
      </c>
      <c r="N160" s="274" t="str">
        <f t="shared" si="35"/>
        <v/>
      </c>
      <c r="O160" s="273"/>
      <c r="P160" s="273"/>
      <c r="Q160" s="243"/>
      <c r="R160" s="243"/>
      <c r="S160" s="291"/>
      <c r="T160" s="276"/>
      <c r="U160" s="276"/>
      <c r="V160" s="276"/>
    </row>
    <row r="161" spans="1:22" s="305" customFormat="1" ht="12.75" customHeight="1" x14ac:dyDescent="0.2">
      <c r="A161" s="323"/>
      <c r="B161" s="349"/>
      <c r="C161" s="37"/>
      <c r="D161" s="297"/>
      <c r="E161" s="329"/>
      <c r="F161" s="327">
        <f t="shared" si="32"/>
        <v>0</v>
      </c>
      <c r="G161" s="244"/>
      <c r="H161" s="244" t="str">
        <f>IF(A161="","",VLOOKUP(A161,'6.A'!$A$11:$E$8163,5,FALSE))</f>
        <v/>
      </c>
      <c r="I161" s="244" t="str">
        <f t="shared" si="33"/>
        <v/>
      </c>
      <c r="J161" s="244" t="str">
        <f>IF(H161="","",VLOOKUP(A161,'6.A'!$A$11:$E$743,4,FALSE))</f>
        <v/>
      </c>
      <c r="K161" s="244" t="str">
        <f t="shared" si="34"/>
        <v/>
      </c>
      <c r="L161" s="244" t="str">
        <f>IF(H161="","",IF(C161="","",G116*C161))</f>
        <v/>
      </c>
      <c r="M161" s="328" t="str">
        <f>IF(A161="","",VLOOKUP(A161,'6.A'!$A$11:$C$743,2,FALSE))</f>
        <v/>
      </c>
      <c r="N161" s="274" t="str">
        <f t="shared" si="35"/>
        <v/>
      </c>
      <c r="O161" s="273"/>
      <c r="P161" s="273"/>
      <c r="Q161" s="243"/>
      <c r="R161" s="243"/>
      <c r="S161" s="291"/>
      <c r="T161" s="276"/>
      <c r="U161" s="276"/>
      <c r="V161" s="276"/>
    </row>
    <row r="162" spans="1:22" s="305" customFormat="1" ht="12.75" customHeight="1" x14ac:dyDescent="0.2">
      <c r="A162" s="323"/>
      <c r="B162" s="349"/>
      <c r="C162" s="37"/>
      <c r="D162" s="297"/>
      <c r="E162" s="329"/>
      <c r="F162" s="327">
        <f t="shared" si="32"/>
        <v>0</v>
      </c>
      <c r="G162" s="244"/>
      <c r="H162" s="244" t="str">
        <f>IF(A162="","",VLOOKUP(A162,'6.A'!$A$11:$E$8163,5,FALSE))</f>
        <v/>
      </c>
      <c r="I162" s="244" t="str">
        <f t="shared" si="33"/>
        <v/>
      </c>
      <c r="J162" s="244" t="str">
        <f>IF(H162="","",VLOOKUP(A162,'6.A'!$A$11:$E$743,4,FALSE))</f>
        <v/>
      </c>
      <c r="K162" s="244" t="str">
        <f t="shared" si="34"/>
        <v/>
      </c>
      <c r="L162" s="244" t="str">
        <f>IF(H162="","",IF(C162="","",G116*C162))</f>
        <v/>
      </c>
      <c r="M162" s="328" t="str">
        <f>IF(A162="","",VLOOKUP(A162,'6.A'!$A$11:$C$743,2,FALSE))</f>
        <v/>
      </c>
      <c r="N162" s="274" t="str">
        <f t="shared" si="35"/>
        <v/>
      </c>
      <c r="O162" s="273"/>
      <c r="P162" s="273"/>
      <c r="Q162" s="243"/>
      <c r="R162" s="243"/>
      <c r="S162" s="291"/>
      <c r="T162" s="276"/>
      <c r="U162" s="276"/>
      <c r="V162" s="276"/>
    </row>
    <row r="163" spans="1:22" s="305" customFormat="1" ht="12.75" customHeight="1" x14ac:dyDescent="0.2">
      <c r="A163" s="323"/>
      <c r="B163" s="349"/>
      <c r="C163" s="37"/>
      <c r="D163" s="297"/>
      <c r="E163" s="329"/>
      <c r="F163" s="327">
        <f t="shared" si="32"/>
        <v>0</v>
      </c>
      <c r="G163" s="244"/>
      <c r="H163" s="244" t="str">
        <f>IF(A163="","",VLOOKUP(A163,'6.A'!$A$11:$E$8163,5,FALSE))</f>
        <v/>
      </c>
      <c r="I163" s="244" t="str">
        <f t="shared" si="33"/>
        <v/>
      </c>
      <c r="J163" s="244" t="str">
        <f>IF(H163="","",VLOOKUP(A163,'6.A'!$A$11:$E$743,4,FALSE))</f>
        <v/>
      </c>
      <c r="K163" s="244" t="str">
        <f t="shared" si="34"/>
        <v/>
      </c>
      <c r="L163" s="244" t="str">
        <f>IF(H163="","",IF(C163="","",G116*C163))</f>
        <v/>
      </c>
      <c r="M163" s="328" t="str">
        <f>IF(A163="","",VLOOKUP(A163,'6.A'!$A$11:$C$743,2,FALSE))</f>
        <v/>
      </c>
      <c r="N163" s="274" t="str">
        <f t="shared" si="35"/>
        <v/>
      </c>
      <c r="O163" s="273"/>
      <c r="P163" s="273"/>
      <c r="Q163" s="243"/>
      <c r="R163" s="243"/>
      <c r="S163" s="291"/>
      <c r="T163" s="276"/>
      <c r="U163" s="276"/>
      <c r="V163" s="276"/>
    </row>
    <row r="164" spans="1:22" s="305" customFormat="1" ht="12.75" customHeight="1" x14ac:dyDescent="0.2">
      <c r="A164" s="323"/>
      <c r="B164" s="349"/>
      <c r="C164" s="37"/>
      <c r="D164" s="297"/>
      <c r="E164" s="329"/>
      <c r="F164" s="327">
        <f t="shared" si="32"/>
        <v>0</v>
      </c>
      <c r="G164" s="244"/>
      <c r="H164" s="244" t="str">
        <f>IF(A164="","",VLOOKUP(A164,'6.A'!$A$11:$E$8163,5,FALSE))</f>
        <v/>
      </c>
      <c r="I164" s="244" t="str">
        <f t="shared" si="33"/>
        <v/>
      </c>
      <c r="J164" s="244" t="str">
        <f>IF(H164="","",VLOOKUP(A164,'6.A'!$A$11:$E$743,4,FALSE))</f>
        <v/>
      </c>
      <c r="K164" s="244" t="str">
        <f t="shared" si="34"/>
        <v/>
      </c>
      <c r="L164" s="244" t="str">
        <f>IF(H164="","",IF(C164="","",G116*C164))</f>
        <v/>
      </c>
      <c r="M164" s="328" t="str">
        <f>IF(A164="","",VLOOKUP(A164,'6.A'!$A$11:$C$743,2,FALSE))</f>
        <v/>
      </c>
      <c r="N164" s="274" t="str">
        <f t="shared" si="35"/>
        <v/>
      </c>
      <c r="O164" s="273"/>
      <c r="P164" s="273"/>
      <c r="Q164" s="243"/>
      <c r="R164" s="243"/>
      <c r="S164" s="291"/>
      <c r="T164" s="276"/>
      <c r="U164" s="276"/>
      <c r="V164" s="276"/>
    </row>
    <row r="165" spans="1:22" s="305" customFormat="1" ht="12.75" customHeight="1" x14ac:dyDescent="0.2">
      <c r="A165" s="323"/>
      <c r="B165" s="331" t="str">
        <f>$A$9</f>
        <v>BDI - M.O / SERV. / MAT. COMUNS</v>
      </c>
      <c r="C165" s="350">
        <f>$C$9</f>
        <v>0</v>
      </c>
      <c r="D165" s="297"/>
      <c r="E165" s="298"/>
      <c r="F165" s="332">
        <f>ROUND(SUM(F145:F164)*C165,2)</f>
        <v>0</v>
      </c>
      <c r="G165" s="333"/>
      <c r="H165" s="244"/>
      <c r="I165" s="274"/>
      <c r="J165" s="274"/>
      <c r="K165" s="274"/>
      <c r="L165" s="244"/>
      <c r="M165" s="274"/>
      <c r="N165" s="274"/>
      <c r="O165" s="273"/>
      <c r="P165" s="273"/>
      <c r="Q165" s="243"/>
      <c r="R165" s="243"/>
      <c r="S165" s="291"/>
      <c r="T165" s="276"/>
      <c r="U165" s="276"/>
      <c r="V165" s="276"/>
    </row>
    <row r="166" spans="1:22" s="305" customFormat="1" ht="12.75" customHeight="1" thickBot="1" x14ac:dyDescent="0.25">
      <c r="A166" s="351"/>
      <c r="B166" s="352" t="s">
        <v>53</v>
      </c>
      <c r="C166" s="4"/>
      <c r="D166" s="353"/>
      <c r="E166" s="354"/>
      <c r="F166" s="355">
        <f>ROUND(SUM(F145:F165),2)</f>
        <v>0</v>
      </c>
      <c r="G166" s="333"/>
      <c r="H166" s="244"/>
      <c r="I166" s="274"/>
      <c r="J166" s="274"/>
      <c r="K166" s="274"/>
      <c r="L166" s="244"/>
      <c r="M166" s="274"/>
      <c r="N166" s="274"/>
      <c r="O166" s="273"/>
      <c r="P166" s="273"/>
      <c r="Q166" s="243"/>
      <c r="R166" s="243"/>
      <c r="S166" s="291"/>
      <c r="T166" s="276"/>
      <c r="U166" s="276"/>
      <c r="V166" s="276"/>
    </row>
    <row r="167" spans="1:22" s="305" customFormat="1" ht="9.9499999999999993" customHeight="1" thickBot="1" x14ac:dyDescent="0.25">
      <c r="A167" s="294"/>
      <c r="B167" s="295"/>
      <c r="C167" s="296"/>
      <c r="D167" s="297"/>
      <c r="E167" s="298"/>
      <c r="F167" s="299"/>
      <c r="G167" s="299"/>
      <c r="H167" s="300"/>
      <c r="I167" s="297"/>
      <c r="J167" s="297"/>
      <c r="K167" s="297"/>
      <c r="L167" s="300"/>
      <c r="M167" s="301"/>
      <c r="N167" s="301"/>
      <c r="O167" s="302"/>
      <c r="P167" s="302"/>
      <c r="Q167" s="303"/>
      <c r="R167" s="303"/>
      <c r="S167" s="304"/>
    </row>
    <row r="168" spans="1:22" s="305" customFormat="1" ht="50.1" customHeight="1" x14ac:dyDescent="0.2">
      <c r="A168" s="306" t="str">
        <f>'3.A'!$A$31</f>
        <v>4.1</v>
      </c>
      <c r="B168" s="307" t="str">
        <f>'3.A'!$B$31</f>
        <v>FORNECIMENTO POSTO OBRA E INSTALAÇÃO DE GUARDA-CORPO EM AÇO INOXIDÁVEL</v>
      </c>
      <c r="C168" s="617" t="s">
        <v>58</v>
      </c>
      <c r="D168" s="617"/>
      <c r="E168" s="308" t="str">
        <f>'3.A'!$C$31</f>
        <v>M</v>
      </c>
      <c r="F168" s="2">
        <f>ROUND(F182+F195+F218,2)</f>
        <v>0</v>
      </c>
      <c r="G168" s="309">
        <f>VLOOKUP(A168,'3.A'!$A$1:$I$195,4,FALSE)</f>
        <v>30</v>
      </c>
      <c r="H168" s="310">
        <f>SUM(F170:F181)</f>
        <v>0</v>
      </c>
      <c r="I168" s="310">
        <f>SUM(F184:F194)</f>
        <v>0</v>
      </c>
      <c r="J168" s="310">
        <f>SUM(F197:F217)</f>
        <v>0</v>
      </c>
      <c r="K168" s="310">
        <f>SUM(H168:J168)</f>
        <v>0</v>
      </c>
      <c r="L168" s="310" t="str">
        <f>IF(K168=F168,"SIM","NÃO")</f>
        <v>SIM</v>
      </c>
      <c r="M168" s="311">
        <f>ROUND(SUM(F170:F179)*C180,2)+ROUND(SUM(F170:F180)*C181,2)+ROUND(SUM(F170:F179),2)+ROUND(SUM(F184:F193)*C194,2)+ROUND(SUM(F184:F193),2)+ROUND(SUM(F197:F216)*C217,2)+ROUND(SUM(F197:F216),2)</f>
        <v>0</v>
      </c>
      <c r="N168" s="280" t="str">
        <f>IF(M168=F168,"SIM","NÃO")</f>
        <v>SIM</v>
      </c>
      <c r="O168" s="281" t="str">
        <f>VLOOKUP(A168,'3.A'!$A$9:$E$195,3,FALSE)</f>
        <v>M</v>
      </c>
      <c r="P168" s="281" t="str">
        <f>IF(O168=E168,"SIM","NÃO")</f>
        <v>SIM</v>
      </c>
      <c r="Q168" s="312">
        <f>ROUND(G168*F182,2)+ROUND(G168*F195,2)+ROUND(G168*F218,2)</f>
        <v>0</v>
      </c>
      <c r="R168" s="313">
        <f>VLOOKUP(A168,'3.A'!$A$18:$L$195,9,FALSE)</f>
        <v>0</v>
      </c>
      <c r="S168" s="314" t="str">
        <f>IF(Q168=R168,"si","no")</f>
        <v>si</v>
      </c>
      <c r="T168" s="315">
        <f>SUM(L170:L179)+SUM(L184:L193)+SUM(L197:L216)</f>
        <v>30</v>
      </c>
      <c r="U168" s="244">
        <f>G168*C176+G168*C178+G168*C172+G168*C171+G168*C173+G168*C177+G168*C175+G168*C174+G168*C170+G168*C179+G168*C190+G168*C184+G168*C192+G168*C191+G168*C189+G168*C186+G168*C185+G168*C187+G168*C193+G168*C188+G168*C197+G168*C198+G168*C199+G168*C207+G168*C208+G168*C209+G168*C210+G168*C211+G168*C212+G168*C213+G168*C214+G168*C215+G168*C216+G168*C205+G168*C206+G168*C200+G168*C201+G168*C202+G168*C203+G168*C204</f>
        <v>30</v>
      </c>
      <c r="V168" s="316" t="str">
        <f>IF(T168=U168,"si","no")</f>
        <v>si</v>
      </c>
    </row>
    <row r="169" spans="1:22" s="305" customFormat="1" ht="12.75" customHeight="1" x14ac:dyDescent="0.2">
      <c r="A169" s="317" t="s">
        <v>2</v>
      </c>
      <c r="B169" s="318" t="s">
        <v>54</v>
      </c>
      <c r="C169" s="319" t="s">
        <v>55</v>
      </c>
      <c r="D169" s="319" t="s">
        <v>19</v>
      </c>
      <c r="E169" s="320" t="s">
        <v>56</v>
      </c>
      <c r="F169" s="321" t="s">
        <v>57</v>
      </c>
      <c r="G169" s="322"/>
      <c r="H169" s="244"/>
      <c r="I169" s="274"/>
      <c r="J169" s="274"/>
      <c r="K169" s="274"/>
      <c r="L169" s="244"/>
      <c r="M169" s="274"/>
      <c r="N169" s="274"/>
      <c r="O169" s="273"/>
      <c r="P169" s="273"/>
      <c r="Q169" s="243"/>
      <c r="R169" s="243"/>
      <c r="S169" s="291"/>
      <c r="T169" s="276"/>
      <c r="U169" s="276"/>
      <c r="V169" s="276"/>
    </row>
    <row r="170" spans="1:22" s="305" customFormat="1" ht="12.75" customHeight="1" x14ac:dyDescent="0.2">
      <c r="A170" s="323"/>
      <c r="B170" s="324"/>
      <c r="C170" s="37"/>
      <c r="D170" s="325"/>
      <c r="E170" s="326"/>
      <c r="F170" s="327">
        <f t="shared" ref="F170:F179" si="36">ROUND(C170*E170,2)</f>
        <v>0</v>
      </c>
      <c r="G170" s="244"/>
      <c r="H170" s="244" t="str">
        <f>IF(A170="","",VLOOKUP(A170,'6.A'!$A$11:$E$8163,5,FALSE))</f>
        <v/>
      </c>
      <c r="I170" s="244" t="str">
        <f>IF(H170="","",IF(E170=H170,"SIM","NÃO"))</f>
        <v/>
      </c>
      <c r="J170" s="244" t="str">
        <f>IF(H170="","",VLOOKUP(A170,'6.A'!$A$11:$E$743,4,FALSE))</f>
        <v/>
      </c>
      <c r="K170" s="244" t="str">
        <f>IF(H170="","",IF(J170=D170,"SIM","NÃO"))</f>
        <v/>
      </c>
      <c r="L170" s="244" t="str">
        <f>IF(H170="","",IF(C170="","",G168*C170))</f>
        <v/>
      </c>
      <c r="M170" s="328" t="str">
        <f>IF(A170="","",VLOOKUP(A170,'6.A'!$A$11:$C$743,2,FALSE))</f>
        <v/>
      </c>
      <c r="N170" s="274" t="str">
        <f>IF(A170="","",IF(M170=B170,"si","no"))</f>
        <v/>
      </c>
      <c r="O170" s="273"/>
      <c r="P170" s="273"/>
      <c r="Q170" s="243"/>
      <c r="R170" s="243"/>
      <c r="S170" s="291"/>
      <c r="T170" s="276"/>
      <c r="U170" s="276"/>
      <c r="V170" s="276"/>
    </row>
    <row r="171" spans="1:22" s="305" customFormat="1" ht="12.75" customHeight="1" x14ac:dyDescent="0.2">
      <c r="A171" s="323"/>
      <c r="B171" s="324"/>
      <c r="C171" s="37"/>
      <c r="D171" s="325"/>
      <c r="E171" s="326"/>
      <c r="F171" s="327">
        <f t="shared" si="36"/>
        <v>0</v>
      </c>
      <c r="G171" s="244"/>
      <c r="H171" s="244" t="str">
        <f>IF(A171="","",VLOOKUP(A171,'6.A'!$A$11:$E$8163,5,FALSE))</f>
        <v/>
      </c>
      <c r="I171" s="244" t="str">
        <f t="shared" ref="I171:I179" si="37">IF(H171="","",IF(E171=H171,"SIM","NÃO"))</f>
        <v/>
      </c>
      <c r="J171" s="244" t="str">
        <f>IF(H171="","",VLOOKUP(A171,'6.A'!$A$11:$E$743,4,FALSE))</f>
        <v/>
      </c>
      <c r="K171" s="244" t="str">
        <f t="shared" ref="K171:K179" si="38">IF(H171="","",IF(J171=D171,"SIM","NÃO"))</f>
        <v/>
      </c>
      <c r="L171" s="244" t="str">
        <f>IF(H171="","",IF(C171="","",G168*C171))</f>
        <v/>
      </c>
      <c r="M171" s="328" t="str">
        <f>IF(A171="","",VLOOKUP(A171,'6.A'!$A$11:$C$743,2,FALSE))</f>
        <v/>
      </c>
      <c r="N171" s="274" t="str">
        <f t="shared" ref="N171:N179" si="39">IF(A171="","",IF(M171=B171,"si","no"))</f>
        <v/>
      </c>
      <c r="O171" s="273"/>
      <c r="P171" s="273"/>
      <c r="Q171" s="243"/>
      <c r="R171" s="243"/>
      <c r="S171" s="291"/>
      <c r="T171" s="276"/>
      <c r="U171" s="276"/>
      <c r="V171" s="276"/>
    </row>
    <row r="172" spans="1:22" s="304" customFormat="1" ht="12.75" customHeight="1" x14ac:dyDescent="0.2">
      <c r="A172" s="323"/>
      <c r="B172" s="324"/>
      <c r="C172" s="37"/>
      <c r="D172" s="325"/>
      <c r="E172" s="326"/>
      <c r="F172" s="327">
        <f t="shared" si="36"/>
        <v>0</v>
      </c>
      <c r="G172" s="244"/>
      <c r="H172" s="244" t="str">
        <f>IF(A172="","",VLOOKUP(A172,'6.A'!$A$11:$E$8163,5,FALSE))</f>
        <v/>
      </c>
      <c r="I172" s="244" t="str">
        <f t="shared" si="37"/>
        <v/>
      </c>
      <c r="J172" s="244" t="str">
        <f>IF(H172="","",VLOOKUP(A172,'6.A'!$A$11:$E$743,4,FALSE))</f>
        <v/>
      </c>
      <c r="K172" s="244" t="str">
        <f t="shared" si="38"/>
        <v/>
      </c>
      <c r="L172" s="244" t="str">
        <f>IF(H172="","",IF(C172="","",G168*C172))</f>
        <v/>
      </c>
      <c r="M172" s="328" t="str">
        <f>IF(A172="","",VLOOKUP(A172,'6.A'!$A$11:$C$743,2,FALSE))</f>
        <v/>
      </c>
      <c r="N172" s="274" t="str">
        <f t="shared" si="39"/>
        <v/>
      </c>
      <c r="O172" s="273"/>
      <c r="P172" s="273"/>
      <c r="Q172" s="243"/>
      <c r="R172" s="243"/>
      <c r="S172" s="291"/>
      <c r="T172" s="276"/>
      <c r="U172" s="276"/>
      <c r="V172" s="276"/>
    </row>
    <row r="173" spans="1:22" s="304" customFormat="1" ht="12.75" customHeight="1" x14ac:dyDescent="0.2">
      <c r="A173" s="323"/>
      <c r="B173" s="324"/>
      <c r="C173" s="37"/>
      <c r="D173" s="325"/>
      <c r="E173" s="326"/>
      <c r="F173" s="327">
        <f t="shared" si="36"/>
        <v>0</v>
      </c>
      <c r="G173" s="244"/>
      <c r="H173" s="244" t="str">
        <f>IF(A173="","",VLOOKUP(A173,'6.A'!$A$11:$E$8163,5,FALSE))</f>
        <v/>
      </c>
      <c r="I173" s="244" t="str">
        <f t="shared" si="37"/>
        <v/>
      </c>
      <c r="J173" s="244" t="str">
        <f>IF(H173="","",VLOOKUP(A173,'6.A'!$A$11:$E$743,4,FALSE))</f>
        <v/>
      </c>
      <c r="K173" s="244" t="str">
        <f t="shared" si="38"/>
        <v/>
      </c>
      <c r="L173" s="244" t="str">
        <f>IF(H173="","",IF(C173="","",G168*C173))</f>
        <v/>
      </c>
      <c r="M173" s="328" t="str">
        <f>IF(A173="","",VLOOKUP(A173,'6.A'!$A$11:$C$743,2,FALSE))</f>
        <v/>
      </c>
      <c r="N173" s="274" t="str">
        <f t="shared" si="39"/>
        <v/>
      </c>
      <c r="O173" s="273"/>
      <c r="P173" s="273"/>
      <c r="Q173" s="243"/>
      <c r="R173" s="243"/>
      <c r="S173" s="291"/>
      <c r="T173" s="276"/>
      <c r="U173" s="276"/>
      <c r="V173" s="276"/>
    </row>
    <row r="174" spans="1:22" s="304" customFormat="1" ht="12.75" customHeight="1" x14ac:dyDescent="0.2">
      <c r="A174" s="323"/>
      <c r="B174" s="324"/>
      <c r="C174" s="37"/>
      <c r="D174" s="325"/>
      <c r="E174" s="326"/>
      <c r="F174" s="327">
        <f t="shared" si="36"/>
        <v>0</v>
      </c>
      <c r="G174" s="244"/>
      <c r="H174" s="244" t="str">
        <f>IF(A174="","",VLOOKUP(A174,'6.A'!$A$11:$E$8163,5,FALSE))</f>
        <v/>
      </c>
      <c r="I174" s="244" t="str">
        <f t="shared" si="37"/>
        <v/>
      </c>
      <c r="J174" s="244" t="str">
        <f>IF(H174="","",VLOOKUP(A174,'6.A'!$A$11:$E$743,4,FALSE))</f>
        <v/>
      </c>
      <c r="K174" s="244" t="str">
        <f t="shared" si="38"/>
        <v/>
      </c>
      <c r="L174" s="244" t="str">
        <f>IF(H174="","",IF(C174="","",G168*C174))</f>
        <v/>
      </c>
      <c r="M174" s="328" t="str">
        <f>IF(A174="","",VLOOKUP(A174,'6.A'!$A$11:$C$743,2,FALSE))</f>
        <v/>
      </c>
      <c r="N174" s="274" t="str">
        <f t="shared" si="39"/>
        <v/>
      </c>
      <c r="O174" s="273"/>
      <c r="P174" s="273"/>
      <c r="Q174" s="243"/>
      <c r="R174" s="243"/>
      <c r="S174" s="291"/>
      <c r="T174" s="276"/>
      <c r="U174" s="276"/>
      <c r="V174" s="276"/>
    </row>
    <row r="175" spans="1:22" s="304" customFormat="1" ht="12.75" customHeight="1" x14ac:dyDescent="0.2">
      <c r="A175" s="323"/>
      <c r="B175" s="324"/>
      <c r="C175" s="37"/>
      <c r="D175" s="325"/>
      <c r="E175" s="326"/>
      <c r="F175" s="327">
        <f t="shared" si="36"/>
        <v>0</v>
      </c>
      <c r="G175" s="244"/>
      <c r="H175" s="244" t="str">
        <f>IF(A175="","",VLOOKUP(A175,'6.A'!$A$11:$E$8163,5,FALSE))</f>
        <v/>
      </c>
      <c r="I175" s="244" t="str">
        <f t="shared" si="37"/>
        <v/>
      </c>
      <c r="J175" s="244" t="str">
        <f>IF(H175="","",VLOOKUP(A175,'6.A'!$A$11:$E$743,4,FALSE))</f>
        <v/>
      </c>
      <c r="K175" s="244" t="str">
        <f t="shared" si="38"/>
        <v/>
      </c>
      <c r="L175" s="244" t="str">
        <f>IF(H175="","",IF(C175="","",G168*C175))</f>
        <v/>
      </c>
      <c r="M175" s="328" t="str">
        <f>IF(A175="","",VLOOKUP(A175,'6.A'!$A$11:$C$743,2,FALSE))</f>
        <v/>
      </c>
      <c r="N175" s="274" t="str">
        <f t="shared" si="39"/>
        <v/>
      </c>
      <c r="O175" s="273"/>
      <c r="P175" s="273"/>
      <c r="Q175" s="243"/>
      <c r="R175" s="243"/>
      <c r="S175" s="291"/>
      <c r="T175" s="276"/>
      <c r="U175" s="276"/>
      <c r="V175" s="276"/>
    </row>
    <row r="176" spans="1:22" s="304" customFormat="1" ht="12.75" customHeight="1" x14ac:dyDescent="0.2">
      <c r="A176" s="323"/>
      <c r="B176" s="324"/>
      <c r="C176" s="37"/>
      <c r="D176" s="297"/>
      <c r="E176" s="329"/>
      <c r="F176" s="327">
        <f t="shared" si="36"/>
        <v>0</v>
      </c>
      <c r="G176" s="244"/>
      <c r="H176" s="244" t="str">
        <f>IF(A176="","",VLOOKUP(A176,'6.A'!$A$11:$E$8163,5,FALSE))</f>
        <v/>
      </c>
      <c r="I176" s="244" t="str">
        <f t="shared" si="37"/>
        <v/>
      </c>
      <c r="J176" s="244" t="str">
        <f>IF(H176="","",VLOOKUP(A176,'6.A'!$A$11:$E$743,4,FALSE))</f>
        <v/>
      </c>
      <c r="K176" s="244" t="str">
        <f t="shared" si="38"/>
        <v/>
      </c>
      <c r="L176" s="244" t="str">
        <f>IF(H176="","",IF(C176="","",G168*C176))</f>
        <v/>
      </c>
      <c r="M176" s="328" t="str">
        <f>IF(A176="","",VLOOKUP(A176,'6.A'!$A$11:$C$743,2,FALSE))</f>
        <v/>
      </c>
      <c r="N176" s="274" t="str">
        <f t="shared" si="39"/>
        <v/>
      </c>
      <c r="O176" s="273"/>
      <c r="P176" s="273"/>
      <c r="Q176" s="243"/>
      <c r="R176" s="243"/>
      <c r="S176" s="291"/>
      <c r="T176" s="276"/>
      <c r="U176" s="276"/>
      <c r="V176" s="276"/>
    </row>
    <row r="177" spans="1:22" s="304" customFormat="1" ht="12.75" customHeight="1" x14ac:dyDescent="0.2">
      <c r="A177" s="323"/>
      <c r="B177" s="324"/>
      <c r="C177" s="37"/>
      <c r="D177" s="297"/>
      <c r="E177" s="326"/>
      <c r="F177" s="327">
        <f t="shared" si="36"/>
        <v>0</v>
      </c>
      <c r="G177" s="244"/>
      <c r="H177" s="244" t="str">
        <f>IF(A177="","",VLOOKUP(A177,'6.A'!$A$11:$E$8163,5,FALSE))</f>
        <v/>
      </c>
      <c r="I177" s="244" t="str">
        <f t="shared" si="37"/>
        <v/>
      </c>
      <c r="J177" s="244" t="str">
        <f>IF(H177="","",VLOOKUP(A177,'6.A'!$A$11:$E$743,4,FALSE))</f>
        <v/>
      </c>
      <c r="K177" s="244" t="str">
        <f t="shared" si="38"/>
        <v/>
      </c>
      <c r="L177" s="244" t="str">
        <f>IF(H177="","",IF(C177="","",G168*C177))</f>
        <v/>
      </c>
      <c r="M177" s="328" t="str">
        <f>IF(A177="","",VLOOKUP(A177,'6.A'!$A$11:$C$743,2,FALSE))</f>
        <v/>
      </c>
      <c r="N177" s="274" t="str">
        <f t="shared" si="39"/>
        <v/>
      </c>
      <c r="O177" s="273"/>
      <c r="P177" s="273"/>
      <c r="Q177" s="243"/>
      <c r="R177" s="243"/>
      <c r="S177" s="291"/>
      <c r="T177" s="276"/>
      <c r="U177" s="276"/>
      <c r="V177" s="276"/>
    </row>
    <row r="178" spans="1:22" s="304" customFormat="1" ht="12.75" customHeight="1" x14ac:dyDescent="0.2">
      <c r="A178" s="323"/>
      <c r="B178" s="324"/>
      <c r="C178" s="37"/>
      <c r="D178" s="297"/>
      <c r="E178" s="326"/>
      <c r="F178" s="327">
        <f t="shared" si="36"/>
        <v>0</v>
      </c>
      <c r="G178" s="244"/>
      <c r="H178" s="244" t="str">
        <f>IF(A178="","",VLOOKUP(A178,'6.A'!$A$11:$E$8163,5,FALSE))</f>
        <v/>
      </c>
      <c r="I178" s="244" t="str">
        <f t="shared" si="37"/>
        <v/>
      </c>
      <c r="J178" s="244" t="str">
        <f>IF(H178="","",VLOOKUP(A178,'6.A'!$A$11:$E$743,4,FALSE))</f>
        <v/>
      </c>
      <c r="K178" s="244" t="str">
        <f t="shared" si="38"/>
        <v/>
      </c>
      <c r="L178" s="244" t="str">
        <f>IF(H178="","",IF(C178="","",G168*C178))</f>
        <v/>
      </c>
      <c r="M178" s="328" t="str">
        <f>IF(A178="","",VLOOKUP(A178,'6.A'!$A$11:$C$743,2,FALSE))</f>
        <v/>
      </c>
      <c r="N178" s="274" t="str">
        <f t="shared" si="39"/>
        <v/>
      </c>
      <c r="O178" s="273"/>
      <c r="P178" s="273"/>
      <c r="Q178" s="243"/>
      <c r="R178" s="243"/>
      <c r="S178" s="291"/>
      <c r="T178" s="276"/>
      <c r="U178" s="276"/>
      <c r="V178" s="276"/>
    </row>
    <row r="179" spans="1:22" s="304" customFormat="1" ht="12.75" customHeight="1" x14ac:dyDescent="0.2">
      <c r="A179" s="323"/>
      <c r="B179" s="324"/>
      <c r="C179" s="37"/>
      <c r="D179" s="330"/>
      <c r="E179" s="326"/>
      <c r="F179" s="327">
        <f t="shared" si="36"/>
        <v>0</v>
      </c>
      <c r="G179" s="244"/>
      <c r="H179" s="244" t="str">
        <f>IF(A179="","",VLOOKUP(A179,'6.A'!$A$11:$E$8163,5,FALSE))</f>
        <v/>
      </c>
      <c r="I179" s="244" t="str">
        <f t="shared" si="37"/>
        <v/>
      </c>
      <c r="J179" s="244" t="str">
        <f>IF(H179="","",VLOOKUP(A179,'6.A'!$A$11:$E$743,4,FALSE))</f>
        <v/>
      </c>
      <c r="K179" s="244" t="str">
        <f t="shared" si="38"/>
        <v/>
      </c>
      <c r="L179" s="244" t="str">
        <f>IF(H179="","",IF(C179="","",G168*C179))</f>
        <v/>
      </c>
      <c r="M179" s="328" t="str">
        <f>IF(A179="","",VLOOKUP(A179,'6.A'!$A$11:$C$743,2,FALSE))</f>
        <v/>
      </c>
      <c r="N179" s="274" t="str">
        <f t="shared" si="39"/>
        <v/>
      </c>
      <c r="O179" s="273"/>
      <c r="P179" s="273"/>
      <c r="Q179" s="243"/>
      <c r="R179" s="243"/>
      <c r="S179" s="291"/>
      <c r="T179" s="276"/>
      <c r="U179" s="276"/>
      <c r="V179" s="276"/>
    </row>
    <row r="180" spans="1:22" s="304" customFormat="1" ht="12.75" customHeight="1" x14ac:dyDescent="0.2">
      <c r="A180" s="317"/>
      <c r="B180" s="331" t="str">
        <f>$A$8</f>
        <v>LEIS SOCIAIS HORISTA - JORNADA NORMAL</v>
      </c>
      <c r="C180" s="3">
        <f>$C$8</f>
        <v>0</v>
      </c>
      <c r="D180" s="297"/>
      <c r="E180" s="298"/>
      <c r="F180" s="332">
        <f>ROUND(SUM(F170:F179)*C180,2)</f>
        <v>0</v>
      </c>
      <c r="G180" s="333"/>
      <c r="H180" s="244"/>
      <c r="I180" s="274"/>
      <c r="J180" s="274"/>
      <c r="K180" s="274"/>
      <c r="L180" s="244"/>
      <c r="M180" s="334"/>
      <c r="N180" s="274"/>
      <c r="O180" s="273"/>
      <c r="P180" s="273"/>
      <c r="Q180" s="243"/>
      <c r="R180" s="243"/>
      <c r="S180" s="291"/>
      <c r="T180" s="276"/>
      <c r="U180" s="276"/>
      <c r="V180" s="276"/>
    </row>
    <row r="181" spans="1:22" s="304" customFormat="1" ht="12.75" customHeight="1" x14ac:dyDescent="0.2">
      <c r="A181" s="323"/>
      <c r="B181" s="331" t="str">
        <f>$A$9</f>
        <v>BDI - M.O / SERV. / MAT. COMUNS</v>
      </c>
      <c r="C181" s="3">
        <f>$C$9</f>
        <v>0</v>
      </c>
      <c r="D181" s="335"/>
      <c r="E181" s="298"/>
      <c r="F181" s="332">
        <f>ROUND(SUM(F170:F180)*C181,2)</f>
        <v>0</v>
      </c>
      <c r="G181" s="333"/>
      <c r="H181" s="244"/>
      <c r="I181" s="274"/>
      <c r="J181" s="274"/>
      <c r="K181" s="274"/>
      <c r="L181" s="244"/>
      <c r="M181" s="334"/>
      <c r="N181" s="274"/>
      <c r="O181" s="273"/>
      <c r="P181" s="273"/>
      <c r="Q181" s="243"/>
      <c r="R181" s="243"/>
      <c r="S181" s="291"/>
      <c r="T181" s="276"/>
      <c r="U181" s="276"/>
      <c r="V181" s="276"/>
    </row>
    <row r="182" spans="1:22" s="304" customFormat="1" ht="12.75" customHeight="1" x14ac:dyDescent="0.2">
      <c r="A182" s="336"/>
      <c r="B182" s="337" t="s">
        <v>52</v>
      </c>
      <c r="C182" s="338"/>
      <c r="D182" s="339"/>
      <c r="E182" s="340"/>
      <c r="F182" s="341">
        <f>ROUND(SUM(F170:F181),2)</f>
        <v>0</v>
      </c>
      <c r="G182" s="333"/>
      <c r="H182" s="244"/>
      <c r="I182" s="274"/>
      <c r="J182" s="274"/>
      <c r="K182" s="274"/>
      <c r="L182" s="244"/>
      <c r="M182" s="334"/>
      <c r="N182" s="274"/>
      <c r="O182" s="273"/>
      <c r="P182" s="273"/>
      <c r="Q182" s="243"/>
      <c r="R182" s="243"/>
      <c r="S182" s="291"/>
      <c r="T182" s="276"/>
      <c r="U182" s="276"/>
      <c r="V182" s="276"/>
    </row>
    <row r="183" spans="1:22" s="304" customFormat="1" ht="12.75" customHeight="1" x14ac:dyDescent="0.2">
      <c r="A183" s="317" t="s">
        <v>4</v>
      </c>
      <c r="B183" s="318" t="s">
        <v>117</v>
      </c>
      <c r="C183" s="319" t="s">
        <v>55</v>
      </c>
      <c r="D183" s="319" t="s">
        <v>19</v>
      </c>
      <c r="E183" s="320" t="s">
        <v>56</v>
      </c>
      <c r="F183" s="321" t="s">
        <v>57</v>
      </c>
      <c r="G183" s="322"/>
      <c r="H183" s="244"/>
      <c r="I183" s="274"/>
      <c r="J183" s="274"/>
      <c r="K183" s="274"/>
      <c r="L183" s="244"/>
      <c r="M183" s="334"/>
      <c r="N183" s="274"/>
      <c r="O183" s="273"/>
      <c r="P183" s="273"/>
      <c r="Q183" s="243"/>
      <c r="R183" s="243"/>
      <c r="S183" s="291"/>
      <c r="T183" s="276"/>
      <c r="U183" s="276"/>
      <c r="V183" s="276"/>
    </row>
    <row r="184" spans="1:22" s="304" customFormat="1" ht="12.75" customHeight="1" x14ac:dyDescent="0.2">
      <c r="A184" s="323">
        <f>'6.A'!$A$17</f>
        <v>70110153</v>
      </c>
      <c r="B184" s="324" t="str">
        <f>'6.A'!$B$17</f>
        <v>GUARDA CORPO RETO AÇO INOX TIPO 1 NTS282-2020</v>
      </c>
      <c r="C184" s="37">
        <v>1</v>
      </c>
      <c r="D184" s="297" t="str">
        <f>'6.A'!$D$17</f>
        <v>M</v>
      </c>
      <c r="E184" s="329">
        <f>'6.A'!$E$17</f>
        <v>0</v>
      </c>
      <c r="F184" s="327">
        <f t="shared" ref="F184:F193" si="40">ROUND(C184*E184,2)</f>
        <v>0</v>
      </c>
      <c r="G184" s="244"/>
      <c r="H184" s="244">
        <f>IF(A184="","",VLOOKUP(A184,'6.A'!$A$11:$E$8163,5,FALSE))</f>
        <v>0</v>
      </c>
      <c r="I184" s="244" t="str">
        <f t="shared" ref="I184:I193" si="41">IF(H184="","",IF(E184=H184,"SIM","NÃO"))</f>
        <v>SIM</v>
      </c>
      <c r="J184" s="244" t="str">
        <f>IF(H184="","",VLOOKUP(A184,'6.A'!$A$11:$E$743,4,FALSE))</f>
        <v>M</v>
      </c>
      <c r="K184" s="244" t="str">
        <f t="shared" ref="K184:K193" si="42">IF(H184="","",IF(J184=D184,"SIM","NÃO"))</f>
        <v>SIM</v>
      </c>
      <c r="L184" s="244">
        <f>IF(H184="","",IF(C184="","",G168*C184))</f>
        <v>30</v>
      </c>
      <c r="M184" s="328" t="str">
        <f>IF(A184="","",VLOOKUP(A184,'6.A'!$A$11:$C$743,2,FALSE))</f>
        <v>GUARDA CORPO RETO AÇO INOX TIPO 1 NTS282-2020</v>
      </c>
      <c r="N184" s="274" t="str">
        <f t="shared" ref="N184:N193" si="43">IF(A184="","",IF(M184=B184,"si","no"))</f>
        <v>si</v>
      </c>
      <c r="O184" s="273"/>
      <c r="P184" s="273"/>
      <c r="Q184" s="243"/>
      <c r="R184" s="243"/>
      <c r="S184" s="291"/>
      <c r="T184" s="276"/>
      <c r="U184" s="276"/>
      <c r="V184" s="276"/>
    </row>
    <row r="185" spans="1:22" s="304" customFormat="1" ht="12.75" customHeight="1" x14ac:dyDescent="0.2">
      <c r="A185" s="323"/>
      <c r="B185" s="324"/>
      <c r="C185" s="37"/>
      <c r="D185" s="297"/>
      <c r="E185" s="329"/>
      <c r="F185" s="327">
        <f t="shared" si="40"/>
        <v>0</v>
      </c>
      <c r="G185" s="244"/>
      <c r="H185" s="244" t="str">
        <f>IF(A185="","",VLOOKUP(A185,'6.A'!$A$11:$E$8163,5,FALSE))</f>
        <v/>
      </c>
      <c r="I185" s="244" t="str">
        <f t="shared" si="41"/>
        <v/>
      </c>
      <c r="J185" s="244" t="str">
        <f>IF(H185="","",VLOOKUP(A185,'6.A'!$A$11:$E$743,4,FALSE))</f>
        <v/>
      </c>
      <c r="K185" s="244" t="str">
        <f t="shared" si="42"/>
        <v/>
      </c>
      <c r="L185" s="244" t="str">
        <f>IF(H185="","",IF(C185="","",G168*C185))</f>
        <v/>
      </c>
      <c r="M185" s="328" t="str">
        <f>IF(A185="","",VLOOKUP(A185,'6.A'!$A$11:$C$743,2,FALSE))</f>
        <v/>
      </c>
      <c r="N185" s="274" t="str">
        <f t="shared" si="43"/>
        <v/>
      </c>
      <c r="O185" s="273"/>
      <c r="P185" s="273"/>
      <c r="Q185" s="243"/>
      <c r="R185" s="243"/>
      <c r="S185" s="291"/>
      <c r="T185" s="276"/>
      <c r="U185" s="276"/>
      <c r="V185" s="276"/>
    </row>
    <row r="186" spans="1:22" s="304" customFormat="1" ht="12.75" customHeight="1" x14ac:dyDescent="0.2">
      <c r="A186" s="323"/>
      <c r="B186" s="324"/>
      <c r="C186" s="37"/>
      <c r="D186" s="297"/>
      <c r="E186" s="329"/>
      <c r="F186" s="327">
        <f t="shared" si="40"/>
        <v>0</v>
      </c>
      <c r="G186" s="244"/>
      <c r="H186" s="244" t="str">
        <f>IF(A186="","",VLOOKUP(A186,'6.A'!$A$11:$E$8163,5,FALSE))</f>
        <v/>
      </c>
      <c r="I186" s="244" t="str">
        <f t="shared" si="41"/>
        <v/>
      </c>
      <c r="J186" s="244" t="str">
        <f>IF(H186="","",VLOOKUP(A186,'6.A'!$A$11:$E$743,4,FALSE))</f>
        <v/>
      </c>
      <c r="K186" s="244" t="str">
        <f t="shared" si="42"/>
        <v/>
      </c>
      <c r="L186" s="244" t="str">
        <f>IF(H186="","",IF(C186="","",G168*C186))</f>
        <v/>
      </c>
      <c r="M186" s="328" t="str">
        <f>IF(A186="","",VLOOKUP(A186,'6.A'!$A$11:$C$743,2,FALSE))</f>
        <v/>
      </c>
      <c r="N186" s="274" t="str">
        <f t="shared" si="43"/>
        <v/>
      </c>
      <c r="O186" s="273"/>
      <c r="P186" s="273"/>
      <c r="Q186" s="243"/>
      <c r="R186" s="243"/>
      <c r="S186" s="291"/>
      <c r="T186" s="276"/>
      <c r="U186" s="276"/>
      <c r="V186" s="276"/>
    </row>
    <row r="187" spans="1:22" s="304" customFormat="1" ht="12.75" customHeight="1" x14ac:dyDescent="0.2">
      <c r="A187" s="323"/>
      <c r="B187" s="324"/>
      <c r="C187" s="37"/>
      <c r="D187" s="297"/>
      <c r="E187" s="329"/>
      <c r="F187" s="327">
        <f t="shared" si="40"/>
        <v>0</v>
      </c>
      <c r="G187" s="244"/>
      <c r="H187" s="244" t="str">
        <f>IF(A187="","",VLOOKUP(A187,'6.A'!$A$11:$E$8163,5,FALSE))</f>
        <v/>
      </c>
      <c r="I187" s="244" t="str">
        <f t="shared" si="41"/>
        <v/>
      </c>
      <c r="J187" s="244" t="str">
        <f>IF(H187="","",VLOOKUP(A187,'6.A'!$A$11:$E$743,4,FALSE))</f>
        <v/>
      </c>
      <c r="K187" s="244" t="str">
        <f t="shared" si="42"/>
        <v/>
      </c>
      <c r="L187" s="244" t="str">
        <f>IF(H187="","",IF(C187="","",G168*C187))</f>
        <v/>
      </c>
      <c r="M187" s="328" t="str">
        <f>IF(A187="","",VLOOKUP(A187,'6.A'!$A$11:$C$743,2,FALSE))</f>
        <v/>
      </c>
      <c r="N187" s="274" t="str">
        <f t="shared" si="43"/>
        <v/>
      </c>
      <c r="O187" s="273"/>
      <c r="P187" s="273"/>
      <c r="Q187" s="243"/>
      <c r="R187" s="243"/>
      <c r="S187" s="291"/>
      <c r="T187" s="276"/>
      <c r="U187" s="276"/>
      <c r="V187" s="276"/>
    </row>
    <row r="188" spans="1:22" s="304" customFormat="1" ht="12.75" customHeight="1" x14ac:dyDescent="0.2">
      <c r="A188" s="323"/>
      <c r="B188" s="324"/>
      <c r="C188" s="37"/>
      <c r="D188" s="297"/>
      <c r="E188" s="329"/>
      <c r="F188" s="327">
        <f t="shared" si="40"/>
        <v>0</v>
      </c>
      <c r="G188" s="244"/>
      <c r="H188" s="244" t="str">
        <f>IF(A188="","",VLOOKUP(A188,'6.A'!$A$11:$E$8163,5,FALSE))</f>
        <v/>
      </c>
      <c r="I188" s="244" t="str">
        <f t="shared" si="41"/>
        <v/>
      </c>
      <c r="J188" s="244" t="str">
        <f>IF(H188="","",VLOOKUP(A188,'6.A'!$A$11:$E$743,4,FALSE))</f>
        <v/>
      </c>
      <c r="K188" s="244" t="str">
        <f t="shared" si="42"/>
        <v/>
      </c>
      <c r="L188" s="244" t="str">
        <f>IF(H188="","",IF(C188="","",G168*C188))</f>
        <v/>
      </c>
      <c r="M188" s="328" t="str">
        <f>IF(A188="","",VLOOKUP(A188,'6.A'!$A$11:$C$743,2,FALSE))</f>
        <v/>
      </c>
      <c r="N188" s="274" t="str">
        <f t="shared" si="43"/>
        <v/>
      </c>
      <c r="O188" s="273"/>
      <c r="P188" s="273"/>
      <c r="Q188" s="243"/>
      <c r="R188" s="243"/>
      <c r="S188" s="291"/>
      <c r="T188" s="276"/>
      <c r="U188" s="276"/>
      <c r="V188" s="276"/>
    </row>
    <row r="189" spans="1:22" s="304" customFormat="1" ht="12.75" customHeight="1" x14ac:dyDescent="0.2">
      <c r="A189" s="323"/>
      <c r="B189" s="324"/>
      <c r="C189" s="37"/>
      <c r="D189" s="297"/>
      <c r="E189" s="329"/>
      <c r="F189" s="327">
        <f t="shared" si="40"/>
        <v>0</v>
      </c>
      <c r="G189" s="244"/>
      <c r="H189" s="244" t="str">
        <f>IF(A189="","",VLOOKUP(A189,'6.A'!$A$11:$E$8163,5,FALSE))</f>
        <v/>
      </c>
      <c r="I189" s="244" t="str">
        <f t="shared" si="41"/>
        <v/>
      </c>
      <c r="J189" s="244" t="str">
        <f>IF(H189="","",VLOOKUP(A189,'6.A'!$A$11:$E$743,4,FALSE))</f>
        <v/>
      </c>
      <c r="K189" s="244" t="str">
        <f t="shared" si="42"/>
        <v/>
      </c>
      <c r="L189" s="244" t="str">
        <f>IF(H189="","",IF(C189="","",G168*C189))</f>
        <v/>
      </c>
      <c r="M189" s="328" t="str">
        <f>IF(A189="","",VLOOKUP(A189,'6.A'!$A$11:$C$743,2,FALSE))</f>
        <v/>
      </c>
      <c r="N189" s="274" t="str">
        <f t="shared" si="43"/>
        <v/>
      </c>
      <c r="O189" s="273"/>
      <c r="P189" s="273"/>
      <c r="Q189" s="243"/>
      <c r="R189" s="243"/>
      <c r="S189" s="291"/>
      <c r="T189" s="276"/>
      <c r="U189" s="276"/>
      <c r="V189" s="276"/>
    </row>
    <row r="190" spans="1:22" s="304" customFormat="1" ht="12.75" customHeight="1" x14ac:dyDescent="0.2">
      <c r="A190" s="323"/>
      <c r="B190" s="324"/>
      <c r="C190" s="37"/>
      <c r="D190" s="297"/>
      <c r="E190" s="329"/>
      <c r="F190" s="327">
        <f t="shared" si="40"/>
        <v>0</v>
      </c>
      <c r="G190" s="244"/>
      <c r="H190" s="244" t="str">
        <f>IF(A190="","",VLOOKUP(A190,'6.A'!$A$11:$E$8163,5,FALSE))</f>
        <v/>
      </c>
      <c r="I190" s="244" t="str">
        <f t="shared" si="41"/>
        <v/>
      </c>
      <c r="J190" s="244" t="str">
        <f>IF(H190="","",VLOOKUP(A190,'6.A'!$A$11:$E$743,4,FALSE))</f>
        <v/>
      </c>
      <c r="K190" s="244" t="str">
        <f t="shared" si="42"/>
        <v/>
      </c>
      <c r="L190" s="244" t="str">
        <f>IF(H190="","",IF(C190="","",G168*C190))</f>
        <v/>
      </c>
      <c r="M190" s="328" t="str">
        <f>IF(A190="","",VLOOKUP(A190,'6.A'!$A$11:$C$743,2,FALSE))</f>
        <v/>
      </c>
      <c r="N190" s="274" t="str">
        <f t="shared" si="43"/>
        <v/>
      </c>
      <c r="O190" s="273"/>
      <c r="P190" s="273"/>
      <c r="Q190" s="243"/>
      <c r="R190" s="243"/>
      <c r="S190" s="291"/>
      <c r="T190" s="276"/>
      <c r="U190" s="276"/>
      <c r="V190" s="276"/>
    </row>
    <row r="191" spans="1:22" s="304" customFormat="1" ht="12.75" customHeight="1" x14ac:dyDescent="0.2">
      <c r="A191" s="323"/>
      <c r="B191" s="324"/>
      <c r="C191" s="37"/>
      <c r="D191" s="297"/>
      <c r="E191" s="329"/>
      <c r="F191" s="327">
        <f t="shared" si="40"/>
        <v>0</v>
      </c>
      <c r="G191" s="244"/>
      <c r="H191" s="244" t="str">
        <f>IF(A191="","",VLOOKUP(A191,'6.A'!$A$11:$E$8163,5,FALSE))</f>
        <v/>
      </c>
      <c r="I191" s="244" t="str">
        <f t="shared" si="41"/>
        <v/>
      </c>
      <c r="J191" s="244" t="str">
        <f>IF(H191="","",VLOOKUP(A191,'6.A'!$A$11:$E$743,4,FALSE))</f>
        <v/>
      </c>
      <c r="K191" s="244" t="str">
        <f t="shared" si="42"/>
        <v/>
      </c>
      <c r="L191" s="244" t="str">
        <f>IF(H191="","",IF(C191="","",G168*C191))</f>
        <v/>
      </c>
      <c r="M191" s="328" t="str">
        <f>IF(A191="","",VLOOKUP(A191,'6.A'!$A$11:$C$743,2,FALSE))</f>
        <v/>
      </c>
      <c r="N191" s="274" t="str">
        <f t="shared" si="43"/>
        <v/>
      </c>
      <c r="O191" s="273"/>
      <c r="P191" s="273"/>
      <c r="Q191" s="243"/>
      <c r="R191" s="243"/>
      <c r="S191" s="291"/>
      <c r="T191" s="276"/>
      <c r="U191" s="276"/>
      <c r="V191" s="276"/>
    </row>
    <row r="192" spans="1:22" s="304" customFormat="1" ht="12.75" customHeight="1" x14ac:dyDescent="0.2">
      <c r="A192" s="323"/>
      <c r="B192" s="324"/>
      <c r="C192" s="37"/>
      <c r="D192" s="297"/>
      <c r="E192" s="329"/>
      <c r="F192" s="327">
        <f t="shared" si="40"/>
        <v>0</v>
      </c>
      <c r="G192" s="244"/>
      <c r="H192" s="244" t="str">
        <f>IF(A192="","",VLOOKUP(A192,'6.A'!$A$11:$E$8163,5,FALSE))</f>
        <v/>
      </c>
      <c r="I192" s="244" t="str">
        <f t="shared" si="41"/>
        <v/>
      </c>
      <c r="J192" s="244" t="str">
        <f>IF(H192="","",VLOOKUP(A192,'6.A'!$A$11:$E$743,4,FALSE))</f>
        <v/>
      </c>
      <c r="K192" s="244" t="str">
        <f t="shared" si="42"/>
        <v/>
      </c>
      <c r="L192" s="244" t="str">
        <f>IF(H192="","",IF(C192="","",G168*C192))</f>
        <v/>
      </c>
      <c r="M192" s="328" t="str">
        <f>IF(A192="","",VLOOKUP(A192,'6.A'!$A$11:$C$743,2,FALSE))</f>
        <v/>
      </c>
      <c r="N192" s="274" t="str">
        <f t="shared" si="43"/>
        <v/>
      </c>
      <c r="O192" s="273"/>
      <c r="P192" s="273"/>
      <c r="Q192" s="243"/>
      <c r="R192" s="243"/>
      <c r="S192" s="291"/>
      <c r="T192" s="276"/>
      <c r="U192" s="276"/>
      <c r="V192" s="276"/>
    </row>
    <row r="193" spans="1:22" s="304" customFormat="1" ht="12.75" customHeight="1" x14ac:dyDescent="0.2">
      <c r="A193" s="323"/>
      <c r="B193" s="324"/>
      <c r="C193" s="37"/>
      <c r="D193" s="297"/>
      <c r="E193" s="329"/>
      <c r="F193" s="327">
        <f t="shared" si="40"/>
        <v>0</v>
      </c>
      <c r="G193" s="244"/>
      <c r="H193" s="244" t="str">
        <f>IF(A193="","",VLOOKUP(A193,'6.A'!$A$11:$E$8163,5,FALSE))</f>
        <v/>
      </c>
      <c r="I193" s="244" t="str">
        <f t="shared" si="41"/>
        <v/>
      </c>
      <c r="J193" s="244" t="str">
        <f>IF(H193="","",VLOOKUP(A193,'6.A'!$A$11:$E$743,4,FALSE))</f>
        <v/>
      </c>
      <c r="K193" s="244" t="str">
        <f t="shared" si="42"/>
        <v/>
      </c>
      <c r="L193" s="244" t="str">
        <f>IF(H193="","",IF(C193="","",G168*C193))</f>
        <v/>
      </c>
      <c r="M193" s="328" t="str">
        <f>IF(A193="","",VLOOKUP(A193,'6.A'!$A$11:$C$743,2,FALSE))</f>
        <v/>
      </c>
      <c r="N193" s="274" t="str">
        <f t="shared" si="43"/>
        <v/>
      </c>
      <c r="O193" s="273"/>
      <c r="P193" s="273"/>
      <c r="Q193" s="243"/>
      <c r="R193" s="243"/>
      <c r="S193" s="291"/>
      <c r="T193" s="276"/>
      <c r="U193" s="276"/>
      <c r="V193" s="276"/>
    </row>
    <row r="194" spans="1:22" s="304" customFormat="1" ht="12.75" customHeight="1" x14ac:dyDescent="0.2">
      <c r="A194" s="323"/>
      <c r="B194" s="331" t="str">
        <f>$A$9</f>
        <v>BDI - M.O / SERV. / MAT. COMUNS</v>
      </c>
      <c r="C194" s="3">
        <f>$C$9</f>
        <v>0</v>
      </c>
      <c r="D194" s="297"/>
      <c r="E194" s="298"/>
      <c r="F194" s="332">
        <f>ROUND(SUM(F184:F193)*C194,2)</f>
        <v>0</v>
      </c>
      <c r="G194" s="333"/>
      <c r="H194" s="244"/>
      <c r="I194" s="274"/>
      <c r="J194" s="274"/>
      <c r="K194" s="274"/>
      <c r="L194" s="244"/>
      <c r="M194" s="334"/>
      <c r="N194" s="274"/>
      <c r="O194" s="273"/>
      <c r="P194" s="273"/>
      <c r="Q194" s="243"/>
      <c r="R194" s="243"/>
      <c r="S194" s="291"/>
      <c r="T194" s="276"/>
      <c r="U194" s="276"/>
      <c r="V194" s="276"/>
    </row>
    <row r="195" spans="1:22" s="304" customFormat="1" ht="12.75" customHeight="1" x14ac:dyDescent="0.2">
      <c r="A195" s="336"/>
      <c r="B195" s="345" t="s">
        <v>108</v>
      </c>
      <c r="C195" s="346"/>
      <c r="D195" s="347"/>
      <c r="E195" s="348"/>
      <c r="F195" s="341">
        <f>ROUND(SUM(F184:F194),2)</f>
        <v>0</v>
      </c>
      <c r="G195" s="333"/>
      <c r="H195" s="244"/>
      <c r="I195" s="274"/>
      <c r="J195" s="274"/>
      <c r="K195" s="274"/>
      <c r="L195" s="244"/>
      <c r="M195" s="334"/>
      <c r="N195" s="274"/>
      <c r="O195" s="273"/>
      <c r="P195" s="273"/>
      <c r="Q195" s="243"/>
      <c r="R195" s="243"/>
      <c r="S195" s="291"/>
      <c r="T195" s="276"/>
      <c r="U195" s="276"/>
      <c r="V195" s="276"/>
    </row>
    <row r="196" spans="1:22" s="304" customFormat="1" ht="12.75" customHeight="1" x14ac:dyDescent="0.2">
      <c r="A196" s="317" t="s">
        <v>6</v>
      </c>
      <c r="B196" s="318" t="s">
        <v>20</v>
      </c>
      <c r="C196" s="319" t="s">
        <v>55</v>
      </c>
      <c r="D196" s="319" t="s">
        <v>19</v>
      </c>
      <c r="E196" s="320" t="s">
        <v>56</v>
      </c>
      <c r="F196" s="321" t="s">
        <v>57</v>
      </c>
      <c r="G196" s="322"/>
      <c r="H196" s="244"/>
      <c r="I196" s="274"/>
      <c r="J196" s="274"/>
      <c r="K196" s="274"/>
      <c r="L196" s="244"/>
      <c r="M196" s="334"/>
      <c r="N196" s="274"/>
      <c r="O196" s="273"/>
      <c r="P196" s="273"/>
      <c r="Q196" s="243"/>
      <c r="R196" s="243"/>
      <c r="S196" s="291"/>
      <c r="T196" s="276"/>
      <c r="U196" s="276"/>
      <c r="V196" s="276"/>
    </row>
    <row r="197" spans="1:22" s="304" customFormat="1" ht="12.75" customHeight="1" x14ac:dyDescent="0.2">
      <c r="A197" s="323"/>
      <c r="B197" s="324"/>
      <c r="C197" s="37"/>
      <c r="D197" s="297"/>
      <c r="E197" s="329"/>
      <c r="F197" s="327">
        <f t="shared" ref="F197:F216" si="44">ROUND(C197*E197,2)</f>
        <v>0</v>
      </c>
      <c r="G197" s="244"/>
      <c r="H197" s="244" t="str">
        <f>IF(A197="","",VLOOKUP(A197,'6.A'!$A$11:$E$8163,5,FALSE))</f>
        <v/>
      </c>
      <c r="I197" s="244" t="str">
        <f t="shared" ref="I197:I216" si="45">IF(H197="","",IF(E197=H197,"SIM","NÃO"))</f>
        <v/>
      </c>
      <c r="J197" s="244" t="str">
        <f>IF(H197="","",VLOOKUP(A197,'6.A'!$A$11:$E$743,4,FALSE))</f>
        <v/>
      </c>
      <c r="K197" s="244" t="str">
        <f t="shared" ref="K197:K216" si="46">IF(H197="","",IF(J197=D197,"SIM","NÃO"))</f>
        <v/>
      </c>
      <c r="L197" s="244" t="str">
        <f>IF(H197="","",IF(C197="","",G168*C197))</f>
        <v/>
      </c>
      <c r="M197" s="328" t="str">
        <f>IF(A197="","",VLOOKUP(A197,'6.A'!$A$11:$C$743,2,FALSE))</f>
        <v/>
      </c>
      <c r="N197" s="274" t="str">
        <f t="shared" ref="N197:N216" si="47">IF(A197="","",IF(M197=B197,"si","no"))</f>
        <v/>
      </c>
      <c r="O197" s="273"/>
      <c r="P197" s="273"/>
      <c r="Q197" s="243"/>
      <c r="R197" s="243"/>
      <c r="S197" s="291"/>
      <c r="T197" s="276"/>
      <c r="U197" s="276"/>
      <c r="V197" s="276"/>
    </row>
    <row r="198" spans="1:22" s="304" customFormat="1" ht="12.75" customHeight="1" x14ac:dyDescent="0.2">
      <c r="A198" s="323"/>
      <c r="B198" s="324"/>
      <c r="C198" s="37"/>
      <c r="D198" s="297"/>
      <c r="E198" s="329"/>
      <c r="F198" s="327">
        <f t="shared" si="44"/>
        <v>0</v>
      </c>
      <c r="G198" s="244"/>
      <c r="H198" s="244" t="str">
        <f>IF(A198="","",VLOOKUP(A198,'6.A'!$A$11:$E$8163,5,FALSE))</f>
        <v/>
      </c>
      <c r="I198" s="244" t="str">
        <f t="shared" si="45"/>
        <v/>
      </c>
      <c r="J198" s="244" t="str">
        <f>IF(H198="","",VLOOKUP(A198,'6.A'!$A$11:$E$743,4,FALSE))</f>
        <v/>
      </c>
      <c r="K198" s="244" t="str">
        <f t="shared" si="46"/>
        <v/>
      </c>
      <c r="L198" s="244" t="str">
        <f>IF(H198="","",IF(C198="","",G168*C198))</f>
        <v/>
      </c>
      <c r="M198" s="328" t="str">
        <f>IF(A198="","",VLOOKUP(A198,'6.A'!$A$11:$C$743,2,FALSE))</f>
        <v/>
      </c>
      <c r="N198" s="274" t="str">
        <f t="shared" si="47"/>
        <v/>
      </c>
      <c r="O198" s="273"/>
      <c r="P198" s="273"/>
      <c r="Q198" s="243"/>
      <c r="R198" s="243"/>
      <c r="S198" s="291"/>
      <c r="T198" s="276"/>
      <c r="U198" s="276"/>
      <c r="V198" s="276"/>
    </row>
    <row r="199" spans="1:22" s="304" customFormat="1" ht="12.75" customHeight="1" x14ac:dyDescent="0.2">
      <c r="A199" s="323"/>
      <c r="B199" s="324"/>
      <c r="C199" s="37"/>
      <c r="D199" s="297"/>
      <c r="E199" s="329"/>
      <c r="F199" s="327">
        <f t="shared" si="44"/>
        <v>0</v>
      </c>
      <c r="G199" s="244"/>
      <c r="H199" s="244" t="str">
        <f>IF(A199="","",VLOOKUP(A199,'6.A'!$A$11:$E$8163,5,FALSE))</f>
        <v/>
      </c>
      <c r="I199" s="244" t="str">
        <f t="shared" si="45"/>
        <v/>
      </c>
      <c r="J199" s="244" t="str">
        <f>IF(H199="","",VLOOKUP(A199,'6.A'!$A$11:$E$743,4,FALSE))</f>
        <v/>
      </c>
      <c r="K199" s="244" t="str">
        <f t="shared" si="46"/>
        <v/>
      </c>
      <c r="L199" s="244" t="str">
        <f>IF(H199="","",IF(C199="","",G168*C199))</f>
        <v/>
      </c>
      <c r="M199" s="328" t="str">
        <f>IF(A199="","",VLOOKUP(A199,'6.A'!$A$11:$C$743,2,FALSE))</f>
        <v/>
      </c>
      <c r="N199" s="274" t="str">
        <f t="shared" si="47"/>
        <v/>
      </c>
      <c r="O199" s="273"/>
      <c r="P199" s="273"/>
      <c r="Q199" s="243"/>
      <c r="R199" s="243"/>
      <c r="S199" s="291"/>
      <c r="T199" s="276"/>
      <c r="U199" s="276"/>
      <c r="V199" s="276"/>
    </row>
    <row r="200" spans="1:22" s="304" customFormat="1" ht="12.75" customHeight="1" x14ac:dyDescent="0.2">
      <c r="A200" s="323"/>
      <c r="B200" s="324"/>
      <c r="C200" s="37"/>
      <c r="D200" s="297"/>
      <c r="E200" s="329"/>
      <c r="F200" s="327">
        <f t="shared" si="44"/>
        <v>0</v>
      </c>
      <c r="G200" s="244"/>
      <c r="H200" s="244" t="str">
        <f>IF(A200="","",VLOOKUP(A200,'6.A'!$A$11:$E$8163,5,FALSE))</f>
        <v/>
      </c>
      <c r="I200" s="244" t="str">
        <f t="shared" si="45"/>
        <v/>
      </c>
      <c r="J200" s="244" t="str">
        <f>IF(H200="","",VLOOKUP(A200,'6.A'!$A$11:$E$743,4,FALSE))</f>
        <v/>
      </c>
      <c r="K200" s="244" t="str">
        <f t="shared" si="46"/>
        <v/>
      </c>
      <c r="L200" s="244" t="str">
        <f>IF(H200="","",IF(C200="","",G168*C200))</f>
        <v/>
      </c>
      <c r="M200" s="328" t="str">
        <f>IF(A200="","",VLOOKUP(A200,'6.A'!$A$11:$C$743,2,FALSE))</f>
        <v/>
      </c>
      <c r="N200" s="274" t="str">
        <f t="shared" si="47"/>
        <v/>
      </c>
      <c r="O200" s="273"/>
      <c r="P200" s="273"/>
      <c r="Q200" s="243"/>
      <c r="R200" s="243"/>
      <c r="S200" s="291"/>
      <c r="T200" s="276"/>
      <c r="U200" s="276"/>
      <c r="V200" s="276"/>
    </row>
    <row r="201" spans="1:22" s="304" customFormat="1" ht="12.75" customHeight="1" x14ac:dyDescent="0.2">
      <c r="A201" s="323"/>
      <c r="B201" s="324"/>
      <c r="C201" s="37"/>
      <c r="D201" s="297"/>
      <c r="E201" s="329"/>
      <c r="F201" s="327">
        <f t="shared" si="44"/>
        <v>0</v>
      </c>
      <c r="G201" s="244"/>
      <c r="H201" s="244" t="str">
        <f>IF(A201="","",VLOOKUP(A201,'6.A'!$A$11:$E$8163,5,FALSE))</f>
        <v/>
      </c>
      <c r="I201" s="244" t="str">
        <f t="shared" si="45"/>
        <v/>
      </c>
      <c r="J201" s="244" t="str">
        <f>IF(H201="","",VLOOKUP(A201,'6.A'!$A$11:$E$743,4,FALSE))</f>
        <v/>
      </c>
      <c r="K201" s="244" t="str">
        <f t="shared" si="46"/>
        <v/>
      </c>
      <c r="L201" s="244" t="str">
        <f>IF(H201="","",IF(C201="","",G168*C201))</f>
        <v/>
      </c>
      <c r="M201" s="328" t="str">
        <f>IF(A201="","",VLOOKUP(A201,'6.A'!$A$11:$C$743,2,FALSE))</f>
        <v/>
      </c>
      <c r="N201" s="274" t="str">
        <f t="shared" si="47"/>
        <v/>
      </c>
      <c r="O201" s="273"/>
      <c r="P201" s="273"/>
      <c r="Q201" s="243"/>
      <c r="R201" s="243"/>
      <c r="S201" s="291"/>
      <c r="T201" s="276"/>
      <c r="U201" s="276"/>
      <c r="V201" s="276"/>
    </row>
    <row r="202" spans="1:22" s="304" customFormat="1" ht="12.75" customHeight="1" x14ac:dyDescent="0.2">
      <c r="A202" s="323"/>
      <c r="B202" s="324"/>
      <c r="C202" s="37"/>
      <c r="D202" s="297"/>
      <c r="E202" s="329"/>
      <c r="F202" s="327">
        <f t="shared" si="44"/>
        <v>0</v>
      </c>
      <c r="G202" s="244"/>
      <c r="H202" s="244" t="str">
        <f>IF(A202="","",VLOOKUP(A202,'6.A'!$A$11:$E$8163,5,FALSE))</f>
        <v/>
      </c>
      <c r="I202" s="244" t="str">
        <f t="shared" si="45"/>
        <v/>
      </c>
      <c r="J202" s="244" t="str">
        <f>IF(H202="","",VLOOKUP(A202,'6.A'!$A$11:$E$743,4,FALSE))</f>
        <v/>
      </c>
      <c r="K202" s="244" t="str">
        <f t="shared" si="46"/>
        <v/>
      </c>
      <c r="L202" s="244" t="str">
        <f>IF(H202="","",IF(C202="","",G168*C202))</f>
        <v/>
      </c>
      <c r="M202" s="328" t="str">
        <f>IF(A202="","",VLOOKUP(A202,'6.A'!$A$11:$C$743,2,FALSE))</f>
        <v/>
      </c>
      <c r="N202" s="274" t="str">
        <f t="shared" si="47"/>
        <v/>
      </c>
      <c r="O202" s="273"/>
      <c r="P202" s="273"/>
      <c r="Q202" s="243"/>
      <c r="R202" s="243"/>
      <c r="S202" s="291"/>
      <c r="T202" s="276"/>
      <c r="U202" s="276"/>
      <c r="V202" s="276"/>
    </row>
    <row r="203" spans="1:22" s="304" customFormat="1" ht="12.75" customHeight="1" x14ac:dyDescent="0.2">
      <c r="A203" s="323"/>
      <c r="B203" s="324"/>
      <c r="C203" s="37"/>
      <c r="D203" s="297"/>
      <c r="E203" s="329"/>
      <c r="F203" s="327">
        <f t="shared" si="44"/>
        <v>0</v>
      </c>
      <c r="G203" s="244"/>
      <c r="H203" s="244" t="str">
        <f>IF(A203="","",VLOOKUP(A203,'6.A'!$A$11:$E$8163,5,FALSE))</f>
        <v/>
      </c>
      <c r="I203" s="244" t="str">
        <f t="shared" si="45"/>
        <v/>
      </c>
      <c r="J203" s="244" t="str">
        <f>IF(H203="","",VLOOKUP(A203,'6.A'!$A$11:$E$743,4,FALSE))</f>
        <v/>
      </c>
      <c r="K203" s="244" t="str">
        <f t="shared" si="46"/>
        <v/>
      </c>
      <c r="L203" s="244" t="str">
        <f>IF(H203="","",IF(C203="","",G168*C203))</f>
        <v/>
      </c>
      <c r="M203" s="328" t="str">
        <f>IF(A203="","",VLOOKUP(A203,'6.A'!$A$11:$C$743,2,FALSE))</f>
        <v/>
      </c>
      <c r="N203" s="274" t="str">
        <f t="shared" si="47"/>
        <v/>
      </c>
      <c r="O203" s="273"/>
      <c r="P203" s="273"/>
      <c r="Q203" s="243"/>
      <c r="R203" s="243"/>
      <c r="S203" s="291"/>
      <c r="T203" s="276"/>
      <c r="U203" s="276"/>
      <c r="V203" s="276"/>
    </row>
    <row r="204" spans="1:22" s="304" customFormat="1" ht="12.75" customHeight="1" x14ac:dyDescent="0.2">
      <c r="A204" s="323"/>
      <c r="B204" s="324"/>
      <c r="C204" s="37"/>
      <c r="D204" s="297"/>
      <c r="E204" s="329"/>
      <c r="F204" s="327">
        <f t="shared" si="44"/>
        <v>0</v>
      </c>
      <c r="G204" s="244"/>
      <c r="H204" s="244" t="str">
        <f>IF(A204="","",VLOOKUP(A204,'6.A'!$A$11:$E$8163,5,FALSE))</f>
        <v/>
      </c>
      <c r="I204" s="244" t="str">
        <f t="shared" si="45"/>
        <v/>
      </c>
      <c r="J204" s="244" t="str">
        <f>IF(H204="","",VLOOKUP(A204,'6.A'!$A$11:$E$743,4,FALSE))</f>
        <v/>
      </c>
      <c r="K204" s="244" t="str">
        <f t="shared" si="46"/>
        <v/>
      </c>
      <c r="L204" s="244" t="str">
        <f>IF(H204="","",IF(C204="","",G168*C204))</f>
        <v/>
      </c>
      <c r="M204" s="328" t="str">
        <f>IF(A204="","",VLOOKUP(A204,'6.A'!$A$11:$C$743,2,FALSE))</f>
        <v/>
      </c>
      <c r="N204" s="274" t="str">
        <f t="shared" si="47"/>
        <v/>
      </c>
      <c r="O204" s="273"/>
      <c r="P204" s="273"/>
      <c r="Q204" s="243"/>
      <c r="R204" s="243"/>
      <c r="S204" s="291"/>
      <c r="T204" s="276"/>
      <c r="U204" s="276"/>
      <c r="V204" s="276"/>
    </row>
    <row r="205" spans="1:22" s="304" customFormat="1" ht="12.75" customHeight="1" x14ac:dyDescent="0.2">
      <c r="A205" s="323"/>
      <c r="B205" s="324"/>
      <c r="C205" s="37"/>
      <c r="D205" s="297"/>
      <c r="E205" s="329"/>
      <c r="F205" s="327">
        <f t="shared" si="44"/>
        <v>0</v>
      </c>
      <c r="G205" s="244"/>
      <c r="H205" s="244" t="str">
        <f>IF(A205="","",VLOOKUP(A205,'6.A'!$A$11:$E$8163,5,FALSE))</f>
        <v/>
      </c>
      <c r="I205" s="244" t="str">
        <f t="shared" si="45"/>
        <v/>
      </c>
      <c r="J205" s="244" t="str">
        <f>IF(H205="","",VLOOKUP(A205,'6.A'!$A$11:$E$743,4,FALSE))</f>
        <v/>
      </c>
      <c r="K205" s="244" t="str">
        <f t="shared" si="46"/>
        <v/>
      </c>
      <c r="L205" s="244" t="str">
        <f>IF(H205="","",IF(C205="","",G168*C205))</f>
        <v/>
      </c>
      <c r="M205" s="328" t="str">
        <f>IF(A205="","",VLOOKUP(A205,'6.A'!$A$11:$C$743,2,FALSE))</f>
        <v/>
      </c>
      <c r="N205" s="274" t="str">
        <f t="shared" si="47"/>
        <v/>
      </c>
      <c r="O205" s="273"/>
      <c r="P205" s="273"/>
      <c r="Q205" s="243"/>
      <c r="R205" s="243"/>
      <c r="S205" s="291"/>
      <c r="T205" s="276"/>
      <c r="U205" s="276"/>
      <c r="V205" s="276"/>
    </row>
    <row r="206" spans="1:22" s="304" customFormat="1" ht="12.75" customHeight="1" x14ac:dyDescent="0.2">
      <c r="A206" s="323"/>
      <c r="B206" s="324"/>
      <c r="C206" s="37"/>
      <c r="D206" s="297"/>
      <c r="E206" s="329"/>
      <c r="F206" s="327">
        <f t="shared" si="44"/>
        <v>0</v>
      </c>
      <c r="G206" s="244"/>
      <c r="H206" s="244" t="str">
        <f>IF(A206="","",VLOOKUP(A206,'6.A'!$A$11:$E$8163,5,FALSE))</f>
        <v/>
      </c>
      <c r="I206" s="244" t="str">
        <f t="shared" si="45"/>
        <v/>
      </c>
      <c r="J206" s="244" t="str">
        <f>IF(H206="","",VLOOKUP(A206,'6.A'!$A$11:$E$743,4,FALSE))</f>
        <v/>
      </c>
      <c r="K206" s="244" t="str">
        <f t="shared" si="46"/>
        <v/>
      </c>
      <c r="L206" s="244" t="str">
        <f>IF(H206="","",IF(C206="","",G168*C206))</f>
        <v/>
      </c>
      <c r="M206" s="328" t="str">
        <f>IF(A206="","",VLOOKUP(A206,'6.A'!$A$11:$C$743,2,FALSE))</f>
        <v/>
      </c>
      <c r="N206" s="274" t="str">
        <f t="shared" si="47"/>
        <v/>
      </c>
      <c r="O206" s="273"/>
      <c r="P206" s="273"/>
      <c r="Q206" s="243"/>
      <c r="R206" s="243"/>
      <c r="S206" s="291"/>
      <c r="T206" s="276"/>
      <c r="U206" s="276"/>
      <c r="V206" s="276"/>
    </row>
    <row r="207" spans="1:22" s="304" customFormat="1" ht="12.75" customHeight="1" x14ac:dyDescent="0.2">
      <c r="A207" s="323"/>
      <c r="B207" s="324"/>
      <c r="C207" s="37"/>
      <c r="D207" s="297"/>
      <c r="E207" s="329"/>
      <c r="F207" s="327">
        <f t="shared" si="44"/>
        <v>0</v>
      </c>
      <c r="G207" s="244"/>
      <c r="H207" s="244" t="str">
        <f>IF(A207="","",VLOOKUP(A207,'6.A'!$A$11:$E$8163,5,FALSE))</f>
        <v/>
      </c>
      <c r="I207" s="244" t="str">
        <f t="shared" si="45"/>
        <v/>
      </c>
      <c r="J207" s="244" t="str">
        <f>IF(H207="","",VLOOKUP(A207,'6.A'!$A$11:$E$743,4,FALSE))</f>
        <v/>
      </c>
      <c r="K207" s="244" t="str">
        <f t="shared" si="46"/>
        <v/>
      </c>
      <c r="L207" s="244" t="str">
        <f>IF(H207="","",IF(C207="","",G168*C207))</f>
        <v/>
      </c>
      <c r="M207" s="328" t="str">
        <f>IF(A207="","",VLOOKUP(A207,'6.A'!$A$11:$C$743,2,FALSE))</f>
        <v/>
      </c>
      <c r="N207" s="274" t="str">
        <f t="shared" si="47"/>
        <v/>
      </c>
      <c r="O207" s="273"/>
      <c r="P207" s="273"/>
      <c r="Q207" s="243"/>
      <c r="R207" s="243"/>
      <c r="S207" s="291"/>
      <c r="T207" s="276"/>
      <c r="U207" s="276"/>
      <c r="V207" s="276"/>
    </row>
    <row r="208" spans="1:22" s="304" customFormat="1" ht="12.75" customHeight="1" x14ac:dyDescent="0.2">
      <c r="A208" s="323"/>
      <c r="B208" s="324"/>
      <c r="C208" s="37"/>
      <c r="D208" s="297"/>
      <c r="E208" s="329"/>
      <c r="F208" s="327">
        <f t="shared" si="44"/>
        <v>0</v>
      </c>
      <c r="G208" s="244"/>
      <c r="H208" s="244" t="str">
        <f>IF(A208="","",VLOOKUP(A208,'6.A'!$A$11:$E$8163,5,FALSE))</f>
        <v/>
      </c>
      <c r="I208" s="244" t="str">
        <f t="shared" si="45"/>
        <v/>
      </c>
      <c r="J208" s="244" t="str">
        <f>IF(H208="","",VLOOKUP(A208,'6.A'!$A$11:$E$743,4,FALSE))</f>
        <v/>
      </c>
      <c r="K208" s="244" t="str">
        <f t="shared" si="46"/>
        <v/>
      </c>
      <c r="L208" s="244" t="str">
        <f>IF(H208="","",IF(C208="","",G168*C208))</f>
        <v/>
      </c>
      <c r="M208" s="328" t="str">
        <f>IF(A208="","",VLOOKUP(A208,'6.A'!$A$11:$C$743,2,FALSE))</f>
        <v/>
      </c>
      <c r="N208" s="274" t="str">
        <f t="shared" si="47"/>
        <v/>
      </c>
      <c r="O208" s="273"/>
      <c r="P208" s="273"/>
      <c r="Q208" s="243"/>
      <c r="R208" s="243"/>
      <c r="S208" s="291"/>
      <c r="T208" s="276"/>
      <c r="U208" s="276"/>
      <c r="V208" s="276"/>
    </row>
    <row r="209" spans="1:22" s="304" customFormat="1" ht="12.75" customHeight="1" x14ac:dyDescent="0.2">
      <c r="A209" s="323"/>
      <c r="B209" s="324"/>
      <c r="C209" s="37"/>
      <c r="D209" s="297"/>
      <c r="E209" s="329"/>
      <c r="F209" s="327">
        <f t="shared" si="44"/>
        <v>0</v>
      </c>
      <c r="G209" s="244"/>
      <c r="H209" s="244" t="str">
        <f>IF(A209="","",VLOOKUP(A209,'6.A'!$A$11:$E$8163,5,FALSE))</f>
        <v/>
      </c>
      <c r="I209" s="244" t="str">
        <f t="shared" si="45"/>
        <v/>
      </c>
      <c r="J209" s="244" t="str">
        <f>IF(H209="","",VLOOKUP(A209,'6.A'!$A$11:$E$743,4,FALSE))</f>
        <v/>
      </c>
      <c r="K209" s="244" t="str">
        <f t="shared" si="46"/>
        <v/>
      </c>
      <c r="L209" s="244" t="str">
        <f>IF(H209="","",IF(C209="","",G168*C209))</f>
        <v/>
      </c>
      <c r="M209" s="328" t="str">
        <f>IF(A209="","",VLOOKUP(A209,'6.A'!$A$11:$C$743,2,FALSE))</f>
        <v/>
      </c>
      <c r="N209" s="274" t="str">
        <f t="shared" si="47"/>
        <v/>
      </c>
      <c r="O209" s="273"/>
      <c r="P209" s="273"/>
      <c r="Q209" s="243"/>
      <c r="R209" s="243"/>
      <c r="S209" s="291"/>
      <c r="T209" s="276"/>
      <c r="U209" s="276"/>
      <c r="V209" s="276"/>
    </row>
    <row r="210" spans="1:22" s="304" customFormat="1" ht="12.75" customHeight="1" x14ac:dyDescent="0.2">
      <c r="A210" s="323"/>
      <c r="B210" s="324"/>
      <c r="C210" s="37"/>
      <c r="D210" s="297"/>
      <c r="E210" s="329"/>
      <c r="F210" s="327">
        <f t="shared" si="44"/>
        <v>0</v>
      </c>
      <c r="G210" s="244"/>
      <c r="H210" s="244" t="str">
        <f>IF(A210="","",VLOOKUP(A210,'6.A'!$A$11:$E$8163,5,FALSE))</f>
        <v/>
      </c>
      <c r="I210" s="244" t="str">
        <f t="shared" si="45"/>
        <v/>
      </c>
      <c r="J210" s="244" t="str">
        <f>IF(H210="","",VLOOKUP(A210,'6.A'!$A$11:$E$743,4,FALSE))</f>
        <v/>
      </c>
      <c r="K210" s="244" t="str">
        <f t="shared" si="46"/>
        <v/>
      </c>
      <c r="L210" s="244" t="str">
        <f>IF(H210="","",IF(C210="","",G168*C210))</f>
        <v/>
      </c>
      <c r="M210" s="328" t="str">
        <f>IF(A210="","",VLOOKUP(A210,'6.A'!$A$11:$C$743,2,FALSE))</f>
        <v/>
      </c>
      <c r="N210" s="274" t="str">
        <f t="shared" si="47"/>
        <v/>
      </c>
      <c r="O210" s="273"/>
      <c r="P210" s="273"/>
      <c r="Q210" s="243"/>
      <c r="R210" s="243"/>
      <c r="S210" s="291"/>
      <c r="T210" s="276"/>
      <c r="U210" s="276"/>
      <c r="V210" s="276"/>
    </row>
    <row r="211" spans="1:22" s="304" customFormat="1" ht="12.75" customHeight="1" x14ac:dyDescent="0.2">
      <c r="A211" s="323"/>
      <c r="B211" s="324"/>
      <c r="C211" s="37"/>
      <c r="D211" s="297"/>
      <c r="E211" s="329"/>
      <c r="F211" s="327">
        <f t="shared" si="44"/>
        <v>0</v>
      </c>
      <c r="G211" s="244"/>
      <c r="H211" s="244" t="str">
        <f>IF(A211="","",VLOOKUP(A211,'6.A'!$A$11:$E$8163,5,FALSE))</f>
        <v/>
      </c>
      <c r="I211" s="244" t="str">
        <f t="shared" si="45"/>
        <v/>
      </c>
      <c r="J211" s="244" t="str">
        <f>IF(H211="","",VLOOKUP(A211,'6.A'!$A$11:$E$743,4,FALSE))</f>
        <v/>
      </c>
      <c r="K211" s="244" t="str">
        <f t="shared" si="46"/>
        <v/>
      </c>
      <c r="L211" s="244" t="str">
        <f>IF(H211="","",IF(C211="","",G168*C211))</f>
        <v/>
      </c>
      <c r="M211" s="328" t="str">
        <f>IF(A211="","",VLOOKUP(A211,'6.A'!$A$11:$C$743,2,FALSE))</f>
        <v/>
      </c>
      <c r="N211" s="274" t="str">
        <f t="shared" si="47"/>
        <v/>
      </c>
      <c r="O211" s="273"/>
      <c r="P211" s="273"/>
      <c r="Q211" s="243"/>
      <c r="R211" s="243"/>
      <c r="S211" s="291"/>
      <c r="T211" s="276"/>
      <c r="U211" s="276"/>
      <c r="V211" s="276"/>
    </row>
    <row r="212" spans="1:22" s="304" customFormat="1" ht="12.75" customHeight="1" x14ac:dyDescent="0.2">
      <c r="A212" s="323"/>
      <c r="B212" s="324"/>
      <c r="C212" s="37"/>
      <c r="D212" s="297"/>
      <c r="E212" s="329"/>
      <c r="F212" s="327">
        <f t="shared" si="44"/>
        <v>0</v>
      </c>
      <c r="G212" s="244"/>
      <c r="H212" s="244" t="str">
        <f>IF(A212="","",VLOOKUP(A212,'6.A'!$A$11:$E$8163,5,FALSE))</f>
        <v/>
      </c>
      <c r="I212" s="244" t="str">
        <f t="shared" si="45"/>
        <v/>
      </c>
      <c r="J212" s="244" t="str">
        <f>IF(H212="","",VLOOKUP(A212,'6.A'!$A$11:$E$743,4,FALSE))</f>
        <v/>
      </c>
      <c r="K212" s="244" t="str">
        <f t="shared" si="46"/>
        <v/>
      </c>
      <c r="L212" s="244" t="str">
        <f>IF(H212="","",IF(C212="","",G168*C212))</f>
        <v/>
      </c>
      <c r="M212" s="328" t="str">
        <f>IF(A212="","",VLOOKUP(A212,'6.A'!$A$11:$C$743,2,FALSE))</f>
        <v/>
      </c>
      <c r="N212" s="274" t="str">
        <f t="shared" si="47"/>
        <v/>
      </c>
      <c r="O212" s="273"/>
      <c r="P212" s="273"/>
      <c r="Q212" s="243"/>
      <c r="R212" s="243"/>
      <c r="S212" s="291"/>
      <c r="T212" s="276"/>
      <c r="U212" s="276"/>
      <c r="V212" s="276"/>
    </row>
    <row r="213" spans="1:22" s="304" customFormat="1" ht="12.75" customHeight="1" x14ac:dyDescent="0.2">
      <c r="A213" s="323"/>
      <c r="B213" s="349"/>
      <c r="C213" s="37"/>
      <c r="D213" s="297"/>
      <c r="E213" s="329"/>
      <c r="F213" s="327">
        <f t="shared" si="44"/>
        <v>0</v>
      </c>
      <c r="G213" s="244"/>
      <c r="H213" s="244" t="str">
        <f>IF(A213="","",VLOOKUP(A213,'6.A'!$A$11:$E$8163,5,FALSE))</f>
        <v/>
      </c>
      <c r="I213" s="244" t="str">
        <f t="shared" si="45"/>
        <v/>
      </c>
      <c r="J213" s="244" t="str">
        <f>IF(H213="","",VLOOKUP(A213,'6.A'!$A$11:$E$743,4,FALSE))</f>
        <v/>
      </c>
      <c r="K213" s="244" t="str">
        <f t="shared" si="46"/>
        <v/>
      </c>
      <c r="L213" s="244" t="str">
        <f>IF(H213="","",IF(C213="","",G168*C213))</f>
        <v/>
      </c>
      <c r="M213" s="328" t="str">
        <f>IF(A213="","",VLOOKUP(A213,'6.A'!$A$11:$C$743,2,FALSE))</f>
        <v/>
      </c>
      <c r="N213" s="274" t="str">
        <f t="shared" si="47"/>
        <v/>
      </c>
      <c r="O213" s="273"/>
      <c r="P213" s="273"/>
      <c r="Q213" s="243"/>
      <c r="R213" s="243"/>
      <c r="S213" s="291"/>
      <c r="T213" s="276"/>
      <c r="U213" s="276"/>
      <c r="V213" s="276"/>
    </row>
    <row r="214" spans="1:22" s="304" customFormat="1" ht="12.75" customHeight="1" x14ac:dyDescent="0.2">
      <c r="A214" s="323"/>
      <c r="B214" s="349"/>
      <c r="C214" s="37"/>
      <c r="D214" s="297"/>
      <c r="E214" s="329"/>
      <c r="F214" s="327">
        <f t="shared" si="44"/>
        <v>0</v>
      </c>
      <c r="G214" s="244"/>
      <c r="H214" s="244" t="str">
        <f>IF(A214="","",VLOOKUP(A214,'6.A'!$A$11:$E$8163,5,FALSE))</f>
        <v/>
      </c>
      <c r="I214" s="244" t="str">
        <f t="shared" si="45"/>
        <v/>
      </c>
      <c r="J214" s="244" t="str">
        <f>IF(H214="","",VLOOKUP(A214,'6.A'!$A$11:$E$743,4,FALSE))</f>
        <v/>
      </c>
      <c r="K214" s="244" t="str">
        <f t="shared" si="46"/>
        <v/>
      </c>
      <c r="L214" s="244" t="str">
        <f>IF(H214="","",IF(C214="","",G168*C214))</f>
        <v/>
      </c>
      <c r="M214" s="328" t="str">
        <f>IF(A214="","",VLOOKUP(A214,'6.A'!$A$11:$C$743,2,FALSE))</f>
        <v/>
      </c>
      <c r="N214" s="274" t="str">
        <f t="shared" si="47"/>
        <v/>
      </c>
      <c r="O214" s="273"/>
      <c r="P214" s="273"/>
      <c r="Q214" s="243"/>
      <c r="R214" s="243"/>
      <c r="S214" s="291"/>
      <c r="T214" s="276"/>
      <c r="U214" s="276"/>
      <c r="V214" s="276"/>
    </row>
    <row r="215" spans="1:22" s="304" customFormat="1" ht="12.75" customHeight="1" x14ac:dyDescent="0.2">
      <c r="A215" s="323"/>
      <c r="B215" s="349"/>
      <c r="C215" s="37"/>
      <c r="D215" s="297"/>
      <c r="E215" s="329"/>
      <c r="F215" s="327">
        <f t="shared" si="44"/>
        <v>0</v>
      </c>
      <c r="G215" s="244"/>
      <c r="H215" s="244" t="str">
        <f>IF(A215="","",VLOOKUP(A215,'6.A'!$A$11:$E$8163,5,FALSE))</f>
        <v/>
      </c>
      <c r="I215" s="244" t="str">
        <f t="shared" si="45"/>
        <v/>
      </c>
      <c r="J215" s="244" t="str">
        <f>IF(H215="","",VLOOKUP(A215,'6.A'!$A$11:$E$743,4,FALSE))</f>
        <v/>
      </c>
      <c r="K215" s="244" t="str">
        <f t="shared" si="46"/>
        <v/>
      </c>
      <c r="L215" s="244" t="str">
        <f>IF(H215="","",IF(C215="","",G168*C215))</f>
        <v/>
      </c>
      <c r="M215" s="328" t="str">
        <f>IF(A215="","",VLOOKUP(A215,'6.A'!$A$11:$C$743,2,FALSE))</f>
        <v/>
      </c>
      <c r="N215" s="274" t="str">
        <f t="shared" si="47"/>
        <v/>
      </c>
      <c r="O215" s="273"/>
      <c r="P215" s="273"/>
      <c r="Q215" s="243"/>
      <c r="R215" s="243"/>
      <c r="S215" s="291"/>
      <c r="T215" s="276"/>
      <c r="U215" s="276"/>
      <c r="V215" s="276"/>
    </row>
    <row r="216" spans="1:22" s="304" customFormat="1" ht="12.75" customHeight="1" x14ac:dyDescent="0.2">
      <c r="A216" s="323"/>
      <c r="B216" s="349"/>
      <c r="C216" s="37"/>
      <c r="D216" s="297"/>
      <c r="E216" s="329"/>
      <c r="F216" s="327">
        <f t="shared" si="44"/>
        <v>0</v>
      </c>
      <c r="G216" s="244"/>
      <c r="H216" s="244" t="str">
        <f>IF(A216="","",VLOOKUP(A216,'6.A'!$A$11:$E$8163,5,FALSE))</f>
        <v/>
      </c>
      <c r="I216" s="244" t="str">
        <f t="shared" si="45"/>
        <v/>
      </c>
      <c r="J216" s="244" t="str">
        <f>IF(H216="","",VLOOKUP(A216,'6.A'!$A$11:$E$743,4,FALSE))</f>
        <v/>
      </c>
      <c r="K216" s="244" t="str">
        <f t="shared" si="46"/>
        <v/>
      </c>
      <c r="L216" s="244" t="str">
        <f>IF(H216="","",IF(C216="","",G168*C216))</f>
        <v/>
      </c>
      <c r="M216" s="328" t="str">
        <f>IF(A216="","",VLOOKUP(A216,'6.A'!$A$11:$C$743,2,FALSE))</f>
        <v/>
      </c>
      <c r="N216" s="274" t="str">
        <f t="shared" si="47"/>
        <v/>
      </c>
      <c r="O216" s="273"/>
      <c r="P216" s="273"/>
      <c r="Q216" s="243"/>
      <c r="R216" s="243"/>
      <c r="S216" s="291"/>
      <c r="T216" s="276"/>
      <c r="U216" s="276"/>
      <c r="V216" s="276"/>
    </row>
    <row r="217" spans="1:22" s="305" customFormat="1" ht="12.75" customHeight="1" x14ac:dyDescent="0.2">
      <c r="A217" s="323"/>
      <c r="B217" s="331" t="str">
        <f>$A$9</f>
        <v>BDI - M.O / SERV. / MAT. COMUNS</v>
      </c>
      <c r="C217" s="350">
        <f>$C$9</f>
        <v>0</v>
      </c>
      <c r="D217" s="297"/>
      <c r="E217" s="298"/>
      <c r="F217" s="332">
        <f>ROUND(SUM(F197:F216)*C217,2)</f>
        <v>0</v>
      </c>
      <c r="G217" s="333"/>
      <c r="H217" s="244"/>
      <c r="I217" s="274"/>
      <c r="J217" s="274"/>
      <c r="K217" s="274"/>
      <c r="L217" s="244"/>
      <c r="M217" s="274"/>
      <c r="N217" s="274"/>
      <c r="O217" s="273"/>
      <c r="P217" s="273"/>
      <c r="Q217" s="243"/>
      <c r="R217" s="243"/>
      <c r="S217" s="291"/>
      <c r="T217" s="276"/>
      <c r="U217" s="276"/>
      <c r="V217" s="276"/>
    </row>
    <row r="218" spans="1:22" s="305" customFormat="1" ht="12.75" customHeight="1" thickBot="1" x14ac:dyDescent="0.25">
      <c r="A218" s="351"/>
      <c r="B218" s="352" t="s">
        <v>53</v>
      </c>
      <c r="C218" s="4"/>
      <c r="D218" s="353"/>
      <c r="E218" s="354"/>
      <c r="F218" s="355">
        <f>ROUND(SUM(F197:F217),2)</f>
        <v>0</v>
      </c>
      <c r="G218" s="333"/>
      <c r="H218" s="244"/>
      <c r="I218" s="274"/>
      <c r="J218" s="274"/>
      <c r="K218" s="274"/>
      <c r="L218" s="244"/>
      <c r="M218" s="274"/>
      <c r="N218" s="274"/>
      <c r="O218" s="273"/>
      <c r="P218" s="273"/>
      <c r="Q218" s="243"/>
      <c r="R218" s="243"/>
      <c r="S218" s="291"/>
      <c r="T218" s="276"/>
      <c r="U218" s="276"/>
      <c r="V218" s="276"/>
    </row>
    <row r="219" spans="1:22" ht="9.9499999999999993" customHeight="1" thickBot="1" x14ac:dyDescent="0.25">
      <c r="A219" s="356"/>
      <c r="B219" s="285"/>
      <c r="C219" s="286"/>
      <c r="D219" s="274"/>
      <c r="F219" s="289"/>
      <c r="G219" s="289"/>
      <c r="M219" s="274"/>
      <c r="N219" s="274"/>
      <c r="O219" s="273"/>
      <c r="P219" s="273"/>
      <c r="Q219" s="243"/>
      <c r="R219" s="243"/>
    </row>
    <row r="220" spans="1:22" ht="50.1" customHeight="1" x14ac:dyDescent="0.2">
      <c r="A220" s="357" t="str">
        <f>'3.A'!$A$35</f>
        <v>5.1</v>
      </c>
      <c r="B220" s="358" t="str">
        <f>'3.A'!$B$35</f>
        <v>FORNECIMENTO E INSTALAÇÃO DE ESCADA MARINHEIRO COM SAÍDA TIPO PISCINA, EM POLÍMERO REFORÇADO COM FIBRA DE VIDRO</v>
      </c>
      <c r="C220" s="624" t="s">
        <v>58</v>
      </c>
      <c r="D220" s="624"/>
      <c r="E220" s="359" t="str">
        <f>'3.A'!$C$35</f>
        <v>M</v>
      </c>
      <c r="F220" s="2">
        <f>ROUND(F234+F247+F270,2)</f>
        <v>0</v>
      </c>
      <c r="G220" s="309">
        <f>VLOOKUP(A220,'3.A'!$A$1:$I$195,4,FALSE)</f>
        <v>53</v>
      </c>
      <c r="H220" s="310">
        <f>SUM(F222:F233)</f>
        <v>0</v>
      </c>
      <c r="I220" s="310">
        <f>SUM(F236:F246)</f>
        <v>0</v>
      </c>
      <c r="J220" s="310">
        <f>SUM(F249:F269)</f>
        <v>0</v>
      </c>
      <c r="K220" s="310">
        <f>SUM(H220:J220)</f>
        <v>0</v>
      </c>
      <c r="L220" s="310" t="str">
        <f>IF(K220=F220,"SIM","NÃO")</f>
        <v>SIM</v>
      </c>
      <c r="M220" s="311">
        <f>ROUND(SUM(F222:F231)*C232,2)+ROUND(SUM(F222:F232)*C233,2)+ROUND(SUM(F222:F231),2)+ROUND(SUM(F236:F245)*C246,2)+ROUND(SUM(F236:F245),2)+ROUND(SUM(F249:F268)*C269,2)+ROUND(SUM(F249:F268),2)</f>
        <v>0</v>
      </c>
      <c r="N220" s="280" t="str">
        <f>IF(M220=F220,"SIM","NÃO")</f>
        <v>SIM</v>
      </c>
      <c r="O220" s="281" t="str">
        <f>VLOOKUP(A220,'3.A'!$A$9:$E$195,3,FALSE)</f>
        <v>M</v>
      </c>
      <c r="P220" s="281" t="str">
        <f>IF(O220=E220,"SIM","NÃO")</f>
        <v>SIM</v>
      </c>
      <c r="Q220" s="312">
        <f>ROUND(G220*F234,2)+ROUND(G220*F247,2)+ROUND(G220*F270,2)</f>
        <v>0</v>
      </c>
      <c r="R220" s="313">
        <f>VLOOKUP(A220,'3.A'!$A$18:$L$195,9,FALSE)</f>
        <v>0</v>
      </c>
      <c r="S220" s="314" t="str">
        <f>IF(Q220=R220,"si","no")</f>
        <v>si</v>
      </c>
      <c r="T220" s="315">
        <f>SUM(L222:L231)+SUM(L236:L245)+SUM(L249:L268)</f>
        <v>53</v>
      </c>
      <c r="U220" s="244">
        <f>G220*C228+G220*C230+G220*C224+G220*C223+G220*C225+G220*C229+G220*C227+G220*C226+G220*C222+G220*C231+G220*C242+G220*C236+G220*C244+G220*C243+G220*C241+G220*C238+G220*C237+G220*C239+G220*C245+G220*C240+G220*C249+G220*C250+G220*C251+G220*C259+G220*C260+G220*C261+G220*C262+G220*C263+G220*C264+G220*C265+G220*C266+G220*C267+G220*C268+G220*C257+G220*C258+G220*C252+G220*C253+G220*C254+G220*C255+G220*C256</f>
        <v>53</v>
      </c>
      <c r="V220" s="316" t="str">
        <f>IF(T220=U220,"si","no")</f>
        <v>si</v>
      </c>
    </row>
    <row r="221" spans="1:22" ht="12.75" customHeight="1" x14ac:dyDescent="0.2">
      <c r="A221" s="360" t="s">
        <v>2</v>
      </c>
      <c r="B221" s="361" t="s">
        <v>54</v>
      </c>
      <c r="C221" s="273" t="s">
        <v>55</v>
      </c>
      <c r="D221" s="273" t="s">
        <v>19</v>
      </c>
      <c r="E221" s="362" t="s">
        <v>56</v>
      </c>
      <c r="F221" s="288" t="s">
        <v>57</v>
      </c>
      <c r="G221" s="322"/>
      <c r="M221" s="274"/>
      <c r="N221" s="274"/>
      <c r="O221" s="273"/>
      <c r="P221" s="273"/>
      <c r="Q221" s="243"/>
      <c r="R221" s="243"/>
    </row>
    <row r="222" spans="1:22" ht="12.75" customHeight="1" x14ac:dyDescent="0.2">
      <c r="A222" s="342"/>
      <c r="B222" s="343"/>
      <c r="C222" s="23"/>
      <c r="D222" s="274"/>
      <c r="E222" s="344"/>
      <c r="F222" s="363">
        <f t="shared" ref="F222:F231" si="48">ROUND(C222*E222,2)</f>
        <v>0</v>
      </c>
      <c r="G222" s="244"/>
      <c r="H222" s="244" t="str">
        <f>IF(A222="","",VLOOKUP(A222,'6.A'!$A$11:$E$8163,5,FALSE))</f>
        <v/>
      </c>
      <c r="I222" s="244" t="str">
        <f>IF(H222="","",IF(E222=H222,"SIM","NÃO"))</f>
        <v/>
      </c>
      <c r="J222" s="244" t="str">
        <f>IF(H222="","",VLOOKUP(A222,'6.A'!$A$11:$E$743,4,FALSE))</f>
        <v/>
      </c>
      <c r="K222" s="244" t="str">
        <f>IF(H222="","",IF(J222=D222,"SIM","NÃO"))</f>
        <v/>
      </c>
      <c r="L222" s="244" t="str">
        <f>IF(H222="","",IF(C222="","",G220*C222))</f>
        <v/>
      </c>
      <c r="M222" s="328" t="str">
        <f>IF(A222="","",VLOOKUP(A222,'6.A'!$A$11:$C$743,2,FALSE))</f>
        <v/>
      </c>
      <c r="N222" s="274" t="str">
        <f>IF(A222="","",IF(M222=B222,"si","no"))</f>
        <v/>
      </c>
      <c r="O222" s="273"/>
      <c r="P222" s="273"/>
      <c r="Q222" s="243"/>
      <c r="R222" s="243"/>
    </row>
    <row r="223" spans="1:22" ht="12.75" customHeight="1" x14ac:dyDescent="0.2">
      <c r="A223" s="342"/>
      <c r="B223" s="343"/>
      <c r="C223" s="23"/>
      <c r="D223" s="274"/>
      <c r="E223" s="344"/>
      <c r="F223" s="363">
        <f t="shared" si="48"/>
        <v>0</v>
      </c>
      <c r="G223" s="244"/>
      <c r="H223" s="244" t="str">
        <f>IF(A223="","",VLOOKUP(A223,'6.A'!$A$11:$E$8163,5,FALSE))</f>
        <v/>
      </c>
      <c r="I223" s="244" t="str">
        <f t="shared" ref="I223:I231" si="49">IF(H223="","",IF(E223=H223,"SIM","NÃO"))</f>
        <v/>
      </c>
      <c r="J223" s="244" t="str">
        <f>IF(H223="","",VLOOKUP(A223,'6.A'!$A$11:$E$743,4,FALSE))</f>
        <v/>
      </c>
      <c r="K223" s="244" t="str">
        <f t="shared" ref="K223:K231" si="50">IF(H223="","",IF(J223=D223,"SIM","NÃO"))</f>
        <v/>
      </c>
      <c r="L223" s="244" t="str">
        <f>IF(H223="","",IF(C223="","",G220*C223))</f>
        <v/>
      </c>
      <c r="M223" s="328" t="str">
        <f>IF(A223="","",VLOOKUP(A223,'6.A'!$A$11:$C$743,2,FALSE))</f>
        <v/>
      </c>
      <c r="N223" s="274" t="str">
        <f t="shared" ref="N223:N231" si="51">IF(A223="","",IF(M223=B223,"si","no"))</f>
        <v/>
      </c>
      <c r="O223" s="273"/>
      <c r="P223" s="273"/>
      <c r="Q223" s="243"/>
      <c r="R223" s="243"/>
    </row>
    <row r="224" spans="1:22" ht="12.75" customHeight="1" x14ac:dyDescent="0.2">
      <c r="A224" s="342"/>
      <c r="B224" s="343"/>
      <c r="C224" s="23"/>
      <c r="D224" s="274"/>
      <c r="E224" s="344"/>
      <c r="F224" s="363">
        <f t="shared" si="48"/>
        <v>0</v>
      </c>
      <c r="G224" s="244"/>
      <c r="H224" s="244" t="str">
        <f>IF(A224="","",VLOOKUP(A224,'6.A'!$A$11:$E$8163,5,FALSE))</f>
        <v/>
      </c>
      <c r="I224" s="244" t="str">
        <f t="shared" si="49"/>
        <v/>
      </c>
      <c r="J224" s="244" t="str">
        <f>IF(H224="","",VLOOKUP(A224,'6.A'!$A$11:$E$743,4,FALSE))</f>
        <v/>
      </c>
      <c r="K224" s="244" t="str">
        <f t="shared" si="50"/>
        <v/>
      </c>
      <c r="L224" s="244" t="str">
        <f>IF(H224="","",IF(C224="","",G220*C224))</f>
        <v/>
      </c>
      <c r="M224" s="328" t="str">
        <f>IF(A224="","",VLOOKUP(A224,'6.A'!$A$11:$C$743,2,FALSE))</f>
        <v/>
      </c>
      <c r="N224" s="274" t="str">
        <f t="shared" si="51"/>
        <v/>
      </c>
      <c r="O224" s="273"/>
      <c r="P224" s="273"/>
      <c r="Q224" s="243"/>
      <c r="R224" s="243"/>
    </row>
    <row r="225" spans="1:19" ht="12.75" customHeight="1" x14ac:dyDescent="0.2">
      <c r="A225" s="342"/>
      <c r="B225" s="343"/>
      <c r="C225" s="23"/>
      <c r="D225" s="274"/>
      <c r="E225" s="344"/>
      <c r="F225" s="363">
        <f t="shared" si="48"/>
        <v>0</v>
      </c>
      <c r="G225" s="244"/>
      <c r="H225" s="244" t="str">
        <f>IF(A225="","",VLOOKUP(A225,'6.A'!$A$11:$E$8163,5,FALSE))</f>
        <v/>
      </c>
      <c r="I225" s="244" t="str">
        <f t="shared" si="49"/>
        <v/>
      </c>
      <c r="J225" s="244" t="str">
        <f>IF(H225="","",VLOOKUP(A225,'6.A'!$A$11:$E$743,4,FALSE))</f>
        <v/>
      </c>
      <c r="K225" s="244" t="str">
        <f t="shared" si="50"/>
        <v/>
      </c>
      <c r="L225" s="244" t="str">
        <f>IF(H225="","",IF(C225="","",G220*C225))</f>
        <v/>
      </c>
      <c r="M225" s="328" t="str">
        <f>IF(A225="","",VLOOKUP(A225,'6.A'!$A$11:$C$743,2,FALSE))</f>
        <v/>
      </c>
      <c r="N225" s="274" t="str">
        <f t="shared" si="51"/>
        <v/>
      </c>
      <c r="O225" s="273"/>
      <c r="P225" s="273"/>
      <c r="Q225" s="243"/>
      <c r="R225" s="243"/>
    </row>
    <row r="226" spans="1:19" ht="12.75" customHeight="1" x14ac:dyDescent="0.2">
      <c r="A226" s="342"/>
      <c r="B226" s="343"/>
      <c r="C226" s="23"/>
      <c r="D226" s="274"/>
      <c r="E226" s="364"/>
      <c r="F226" s="363">
        <f t="shared" si="48"/>
        <v>0</v>
      </c>
      <c r="G226" s="244"/>
      <c r="H226" s="244" t="str">
        <f>IF(A226="","",VLOOKUP(A226,'6.A'!$A$11:$E$8163,5,FALSE))</f>
        <v/>
      </c>
      <c r="I226" s="244" t="str">
        <f t="shared" si="49"/>
        <v/>
      </c>
      <c r="J226" s="244" t="str">
        <f>IF(H226="","",VLOOKUP(A226,'6.A'!$A$11:$E$743,4,FALSE))</f>
        <v/>
      </c>
      <c r="K226" s="244" t="str">
        <f t="shared" si="50"/>
        <v/>
      </c>
      <c r="L226" s="244" t="str">
        <f>IF(H226="","",IF(C226="","",G220*C226))</f>
        <v/>
      </c>
      <c r="M226" s="328" t="str">
        <f>IF(A226="","",VLOOKUP(A226,'6.A'!$A$11:$C$743,2,FALSE))</f>
        <v/>
      </c>
      <c r="N226" s="274" t="str">
        <f t="shared" si="51"/>
        <v/>
      </c>
      <c r="O226" s="273"/>
      <c r="P226" s="273"/>
      <c r="Q226" s="243"/>
      <c r="R226" s="243"/>
    </row>
    <row r="227" spans="1:19" ht="12.75" customHeight="1" x14ac:dyDescent="0.2">
      <c r="A227" s="342"/>
      <c r="B227" s="343"/>
      <c r="C227" s="23"/>
      <c r="D227" s="274"/>
      <c r="E227" s="364"/>
      <c r="F227" s="363">
        <f t="shared" si="48"/>
        <v>0</v>
      </c>
      <c r="G227" s="244"/>
      <c r="H227" s="244" t="str">
        <f>IF(A227="","",VLOOKUP(A227,'6.A'!$A$11:$E$8163,5,FALSE))</f>
        <v/>
      </c>
      <c r="I227" s="244" t="str">
        <f t="shared" si="49"/>
        <v/>
      </c>
      <c r="J227" s="244" t="str">
        <f>IF(H227="","",VLOOKUP(A227,'6.A'!$A$11:$E$743,4,FALSE))</f>
        <v/>
      </c>
      <c r="K227" s="244" t="str">
        <f t="shared" si="50"/>
        <v/>
      </c>
      <c r="L227" s="244" t="str">
        <f>IF(H227="","",IF(C227="","",G220*C227))</f>
        <v/>
      </c>
      <c r="M227" s="328" t="str">
        <f>IF(A227="","",VLOOKUP(A227,'6.A'!$A$11:$C$743,2,FALSE))</f>
        <v/>
      </c>
      <c r="N227" s="274" t="str">
        <f t="shared" si="51"/>
        <v/>
      </c>
      <c r="O227" s="273"/>
      <c r="P227" s="273"/>
      <c r="Q227" s="243"/>
      <c r="R227" s="243"/>
    </row>
    <row r="228" spans="1:19" ht="12.75" customHeight="1" x14ac:dyDescent="0.2">
      <c r="A228" s="342"/>
      <c r="B228" s="343"/>
      <c r="C228" s="23"/>
      <c r="D228" s="274"/>
      <c r="E228" s="344"/>
      <c r="F228" s="363">
        <f t="shared" si="48"/>
        <v>0</v>
      </c>
      <c r="G228" s="244"/>
      <c r="H228" s="244" t="str">
        <f>IF(A228="","",VLOOKUP(A228,'6.A'!$A$11:$E$8163,5,FALSE))</f>
        <v/>
      </c>
      <c r="I228" s="244" t="str">
        <f t="shared" si="49"/>
        <v/>
      </c>
      <c r="J228" s="244" t="str">
        <f>IF(H228="","",VLOOKUP(A228,'6.A'!$A$11:$E$743,4,FALSE))</f>
        <v/>
      </c>
      <c r="K228" s="244" t="str">
        <f t="shared" si="50"/>
        <v/>
      </c>
      <c r="L228" s="244" t="str">
        <f>IF(H228="","",IF(C228="","",G220*C228))</f>
        <v/>
      </c>
      <c r="M228" s="328" t="str">
        <f>IF(A228="","",VLOOKUP(A228,'6.A'!$A$11:$C$743,2,FALSE))</f>
        <v/>
      </c>
      <c r="N228" s="274" t="str">
        <f t="shared" si="51"/>
        <v/>
      </c>
      <c r="O228" s="273"/>
      <c r="P228" s="273"/>
      <c r="Q228" s="243"/>
      <c r="R228" s="243"/>
      <c r="S228" s="276"/>
    </row>
    <row r="229" spans="1:19" ht="12.75" customHeight="1" x14ac:dyDescent="0.2">
      <c r="A229" s="342"/>
      <c r="B229" s="343"/>
      <c r="C229" s="23"/>
      <c r="D229" s="274"/>
      <c r="E229" s="344"/>
      <c r="F229" s="363">
        <f t="shared" si="48"/>
        <v>0</v>
      </c>
      <c r="G229" s="244"/>
      <c r="H229" s="244" t="str">
        <f>IF(A229="","",VLOOKUP(A229,'6.A'!$A$11:$E$8163,5,FALSE))</f>
        <v/>
      </c>
      <c r="I229" s="244" t="str">
        <f t="shared" si="49"/>
        <v/>
      </c>
      <c r="J229" s="244" t="str">
        <f>IF(H229="","",VLOOKUP(A229,'6.A'!$A$11:$E$743,4,FALSE))</f>
        <v/>
      </c>
      <c r="K229" s="244" t="str">
        <f t="shared" si="50"/>
        <v/>
      </c>
      <c r="L229" s="244" t="str">
        <f>IF(H229="","",IF(C229="","",G220*C229))</f>
        <v/>
      </c>
      <c r="M229" s="328" t="str">
        <f>IF(A229="","",VLOOKUP(A229,'6.A'!$A$11:$C$743,2,FALSE))</f>
        <v/>
      </c>
      <c r="N229" s="274" t="str">
        <f t="shared" si="51"/>
        <v/>
      </c>
      <c r="O229" s="273"/>
      <c r="P229" s="273"/>
      <c r="Q229" s="243"/>
      <c r="R229" s="243"/>
      <c r="S229" s="276"/>
    </row>
    <row r="230" spans="1:19" ht="12.75" customHeight="1" x14ac:dyDescent="0.2">
      <c r="A230" s="342"/>
      <c r="B230" s="343"/>
      <c r="C230" s="23"/>
      <c r="D230" s="365"/>
      <c r="E230" s="364"/>
      <c r="F230" s="363">
        <f t="shared" si="48"/>
        <v>0</v>
      </c>
      <c r="G230" s="244"/>
      <c r="H230" s="244" t="str">
        <f>IF(A230="","",VLOOKUP(A230,'6.A'!$A$11:$E$8163,5,FALSE))</f>
        <v/>
      </c>
      <c r="I230" s="244" t="str">
        <f t="shared" si="49"/>
        <v/>
      </c>
      <c r="J230" s="244" t="str">
        <f>IF(H230="","",VLOOKUP(A230,'6.A'!$A$11:$E$743,4,FALSE))</f>
        <v/>
      </c>
      <c r="K230" s="244" t="str">
        <f t="shared" si="50"/>
        <v/>
      </c>
      <c r="L230" s="244" t="str">
        <f>IF(H230="","",IF(C230="","",G220*C230))</f>
        <v/>
      </c>
      <c r="M230" s="328" t="str">
        <f>IF(A230="","",VLOOKUP(A230,'6.A'!$A$11:$C$743,2,FALSE))</f>
        <v/>
      </c>
      <c r="N230" s="274" t="str">
        <f t="shared" si="51"/>
        <v/>
      </c>
      <c r="O230" s="273"/>
      <c r="P230" s="273"/>
      <c r="Q230" s="243"/>
      <c r="R230" s="243"/>
      <c r="S230" s="276"/>
    </row>
    <row r="231" spans="1:19" ht="12.75" customHeight="1" x14ac:dyDescent="0.2">
      <c r="A231" s="342"/>
      <c r="B231" s="343"/>
      <c r="C231" s="23"/>
      <c r="D231" s="366"/>
      <c r="E231" s="364"/>
      <c r="F231" s="363">
        <f t="shared" si="48"/>
        <v>0</v>
      </c>
      <c r="G231" s="244"/>
      <c r="H231" s="244" t="str">
        <f>IF(A231="","",VLOOKUP(A231,'6.A'!$A$11:$E$8163,5,FALSE))</f>
        <v/>
      </c>
      <c r="I231" s="244" t="str">
        <f t="shared" si="49"/>
        <v/>
      </c>
      <c r="J231" s="244" t="str">
        <f>IF(H231="","",VLOOKUP(A231,'6.A'!$A$11:$E$743,4,FALSE))</f>
        <v/>
      </c>
      <c r="K231" s="244" t="str">
        <f t="shared" si="50"/>
        <v/>
      </c>
      <c r="L231" s="244" t="str">
        <f>IF(H231="","",IF(C231="","",G220*C231))</f>
        <v/>
      </c>
      <c r="M231" s="328" t="str">
        <f>IF(A231="","",VLOOKUP(A231,'6.A'!$A$11:$C$743,2,FALSE))</f>
        <v/>
      </c>
      <c r="N231" s="274" t="str">
        <f t="shared" si="51"/>
        <v/>
      </c>
      <c r="O231" s="273"/>
      <c r="P231" s="273"/>
      <c r="Q231" s="243"/>
      <c r="R231" s="243"/>
      <c r="S231" s="276"/>
    </row>
    <row r="232" spans="1:19" ht="12.75" customHeight="1" x14ac:dyDescent="0.2">
      <c r="A232" s="360"/>
      <c r="B232" s="331" t="str">
        <f>$A$8</f>
        <v>LEIS SOCIAIS HORISTA - JORNADA NORMAL</v>
      </c>
      <c r="C232" s="3">
        <f>$C$8</f>
        <v>0</v>
      </c>
      <c r="D232" s="274"/>
      <c r="F232" s="367">
        <f>ROUND(SUM(F222:F231)*C232,2)</f>
        <v>0</v>
      </c>
      <c r="G232" s="333"/>
      <c r="M232" s="334"/>
      <c r="N232" s="274"/>
      <c r="O232" s="273"/>
      <c r="P232" s="273"/>
      <c r="Q232" s="243"/>
      <c r="R232" s="243"/>
      <c r="S232" s="276"/>
    </row>
    <row r="233" spans="1:19" ht="12.75" customHeight="1" x14ac:dyDescent="0.2">
      <c r="A233" s="342"/>
      <c r="B233" s="331" t="str">
        <f>$A$9</f>
        <v>BDI - M.O / SERV. / MAT. COMUNS</v>
      </c>
      <c r="C233" s="3">
        <f>$C$9</f>
        <v>0</v>
      </c>
      <c r="D233" s="368"/>
      <c r="F233" s="367">
        <f>ROUND(SUM(F222:F232)*C233,2)</f>
        <v>0</v>
      </c>
      <c r="G233" s="333"/>
      <c r="M233" s="334"/>
      <c r="N233" s="274"/>
      <c r="O233" s="273"/>
      <c r="P233" s="273"/>
      <c r="Q233" s="243"/>
      <c r="R233" s="243"/>
      <c r="S233" s="276"/>
    </row>
    <row r="234" spans="1:19" ht="12.75" customHeight="1" x14ac:dyDescent="0.2">
      <c r="A234" s="369"/>
      <c r="B234" s="345" t="s">
        <v>52</v>
      </c>
      <c r="C234" s="370"/>
      <c r="D234" s="371"/>
      <c r="E234" s="372"/>
      <c r="F234" s="373">
        <f>ROUND(SUM(F222:F233),2)</f>
        <v>0</v>
      </c>
      <c r="G234" s="333"/>
      <c r="M234" s="334"/>
      <c r="N234" s="274"/>
      <c r="O234" s="273"/>
      <c r="P234" s="273"/>
      <c r="Q234" s="243"/>
      <c r="R234" s="243"/>
      <c r="S234" s="276"/>
    </row>
    <row r="235" spans="1:19" ht="12.75" customHeight="1" x14ac:dyDescent="0.2">
      <c r="A235" s="360" t="s">
        <v>4</v>
      </c>
      <c r="B235" s="318" t="s">
        <v>117</v>
      </c>
      <c r="C235" s="273" t="s">
        <v>55</v>
      </c>
      <c r="D235" s="273" t="s">
        <v>19</v>
      </c>
      <c r="E235" s="362" t="s">
        <v>56</v>
      </c>
      <c r="F235" s="288" t="s">
        <v>57</v>
      </c>
      <c r="G235" s="322"/>
      <c r="M235" s="334"/>
      <c r="N235" s="274"/>
      <c r="O235" s="273"/>
      <c r="P235" s="273"/>
      <c r="Q235" s="243"/>
      <c r="R235" s="243"/>
      <c r="S235" s="276"/>
    </row>
    <row r="236" spans="1:19" ht="12.75" customHeight="1" x14ac:dyDescent="0.2">
      <c r="A236" s="323">
        <f>'6.A'!$A$18</f>
        <v>70110161</v>
      </c>
      <c r="B236" s="324" t="str">
        <f>'6.A'!$B$18</f>
        <v>ESCADA TIPO MARINHEIRO FIBRA DE VIDRO DESNÍVEL MÁX 10M</v>
      </c>
      <c r="C236" s="37">
        <v>1</v>
      </c>
      <c r="D236" s="325" t="str">
        <f>'6.A'!$D$17</f>
        <v>M</v>
      </c>
      <c r="E236" s="326">
        <f>'6.A'!$E$18</f>
        <v>0</v>
      </c>
      <c r="F236" s="363">
        <f t="shared" ref="F236:F245" si="52">ROUND(C236*E236,2)</f>
        <v>0</v>
      </c>
      <c r="G236" s="244"/>
      <c r="H236" s="244">
        <f>IF(A236="","",VLOOKUP(A236,'6.A'!$A$11:$E$8163,5,FALSE))</f>
        <v>0</v>
      </c>
      <c r="I236" s="244" t="str">
        <f t="shared" ref="I236:I245" si="53">IF(H236="","",IF(E236=H236,"SIM","NÃO"))</f>
        <v>SIM</v>
      </c>
      <c r="J236" s="244" t="str">
        <f>IF(H236="","",VLOOKUP(A236,'6.A'!$A$11:$E$743,4,FALSE))</f>
        <v>M</v>
      </c>
      <c r="K236" s="244" t="str">
        <f t="shared" ref="K236:K245" si="54">IF(H236="","",IF(J236=D236,"SIM","NÃO"))</f>
        <v>SIM</v>
      </c>
      <c r="L236" s="244">
        <f>IF(H236="","",IF(C236="","",G220*C236))</f>
        <v>53</v>
      </c>
      <c r="M236" s="328" t="str">
        <f>IF(A236="","",VLOOKUP(A236,'6.A'!$A$11:$C$743,2,FALSE))</f>
        <v>ESCADA TIPO MARINHEIRO FIBRA DE VIDRO DESNÍVEL MÁX 10M</v>
      </c>
      <c r="N236" s="274" t="str">
        <f t="shared" ref="N236:N245" si="55">IF(A236="","",IF(M236=B236,"si","no"))</f>
        <v>si</v>
      </c>
      <c r="O236" s="273"/>
      <c r="P236" s="273"/>
      <c r="Q236" s="243"/>
      <c r="R236" s="243"/>
      <c r="S236" s="276"/>
    </row>
    <row r="237" spans="1:19" ht="12.75" customHeight="1" x14ac:dyDescent="0.2">
      <c r="A237" s="323"/>
      <c r="B237" s="324"/>
      <c r="C237" s="37"/>
      <c r="D237" s="325"/>
      <c r="E237" s="326"/>
      <c r="F237" s="363">
        <f t="shared" si="52"/>
        <v>0</v>
      </c>
      <c r="G237" s="244"/>
      <c r="H237" s="244" t="str">
        <f>IF(A237="","",VLOOKUP(A237,'6.A'!$A$11:$E$8163,5,FALSE))</f>
        <v/>
      </c>
      <c r="I237" s="244" t="str">
        <f t="shared" si="53"/>
        <v/>
      </c>
      <c r="J237" s="244" t="str">
        <f>IF(H237="","",VLOOKUP(A237,'6.A'!$A$11:$E$743,4,FALSE))</f>
        <v/>
      </c>
      <c r="K237" s="244" t="str">
        <f t="shared" si="54"/>
        <v/>
      </c>
      <c r="L237" s="244" t="str">
        <f>IF(H237="","",IF(C237="","",G220*C237))</f>
        <v/>
      </c>
      <c r="M237" s="328" t="str">
        <f>IF(A237="","",VLOOKUP(A237,'6.A'!$A$11:$C$743,2,FALSE))</f>
        <v/>
      </c>
      <c r="N237" s="274" t="str">
        <f t="shared" si="55"/>
        <v/>
      </c>
      <c r="O237" s="273"/>
      <c r="P237" s="273"/>
      <c r="Q237" s="243"/>
      <c r="R237" s="243"/>
      <c r="S237" s="276"/>
    </row>
    <row r="238" spans="1:19" ht="12.75" customHeight="1" x14ac:dyDescent="0.2">
      <c r="A238" s="342"/>
      <c r="B238" s="343"/>
      <c r="C238" s="23"/>
      <c r="D238" s="274"/>
      <c r="E238" s="344"/>
      <c r="F238" s="363">
        <f t="shared" si="52"/>
        <v>0</v>
      </c>
      <c r="G238" s="244"/>
      <c r="H238" s="244" t="str">
        <f>IF(A238="","",VLOOKUP(A238,'6.A'!$A$11:$E$8163,5,FALSE))</f>
        <v/>
      </c>
      <c r="I238" s="244" t="str">
        <f t="shared" si="53"/>
        <v/>
      </c>
      <c r="J238" s="244" t="str">
        <f>IF(H238="","",VLOOKUP(A238,'6.A'!$A$11:$E$743,4,FALSE))</f>
        <v/>
      </c>
      <c r="K238" s="244" t="str">
        <f t="shared" si="54"/>
        <v/>
      </c>
      <c r="L238" s="244" t="str">
        <f>IF(H238="","",IF(C238="","",G220*C238))</f>
        <v/>
      </c>
      <c r="M238" s="328" t="str">
        <f>IF(A238="","",VLOOKUP(A238,'6.A'!$A$11:$C$743,2,FALSE))</f>
        <v/>
      </c>
      <c r="N238" s="274" t="str">
        <f t="shared" si="55"/>
        <v/>
      </c>
      <c r="O238" s="273"/>
      <c r="P238" s="273"/>
      <c r="Q238" s="243"/>
      <c r="R238" s="243"/>
      <c r="S238" s="276"/>
    </row>
    <row r="239" spans="1:19" ht="12.75" customHeight="1" x14ac:dyDescent="0.2">
      <c r="A239" s="342"/>
      <c r="B239" s="343"/>
      <c r="C239" s="23"/>
      <c r="D239" s="274"/>
      <c r="E239" s="344"/>
      <c r="F239" s="363">
        <f t="shared" si="52"/>
        <v>0</v>
      </c>
      <c r="G239" s="244"/>
      <c r="H239" s="244" t="str">
        <f>IF(A239="","",VLOOKUP(A239,'6.A'!$A$11:$E$8163,5,FALSE))</f>
        <v/>
      </c>
      <c r="I239" s="244" t="str">
        <f t="shared" si="53"/>
        <v/>
      </c>
      <c r="J239" s="244" t="str">
        <f>IF(H239="","",VLOOKUP(A239,'6.A'!$A$11:$E$743,4,FALSE))</f>
        <v/>
      </c>
      <c r="K239" s="244" t="str">
        <f t="shared" si="54"/>
        <v/>
      </c>
      <c r="L239" s="244" t="str">
        <f>IF(H239="","",IF(C239="","",G220*C239))</f>
        <v/>
      </c>
      <c r="M239" s="328" t="str">
        <f>IF(A239="","",VLOOKUP(A239,'6.A'!$A$11:$C$743,2,FALSE))</f>
        <v/>
      </c>
      <c r="N239" s="274" t="str">
        <f t="shared" si="55"/>
        <v/>
      </c>
      <c r="O239" s="273"/>
      <c r="P239" s="273"/>
      <c r="Q239" s="243"/>
      <c r="R239" s="243"/>
      <c r="S239" s="276"/>
    </row>
    <row r="240" spans="1:19" ht="12.75" customHeight="1" x14ac:dyDescent="0.2">
      <c r="A240" s="342"/>
      <c r="B240" s="343"/>
      <c r="C240" s="23"/>
      <c r="D240" s="274"/>
      <c r="E240" s="344"/>
      <c r="F240" s="363">
        <f t="shared" si="52"/>
        <v>0</v>
      </c>
      <c r="G240" s="244"/>
      <c r="H240" s="244" t="str">
        <f>IF(A240="","",VLOOKUP(A240,'6.A'!$A$11:$E$8163,5,FALSE))</f>
        <v/>
      </c>
      <c r="I240" s="244" t="str">
        <f t="shared" si="53"/>
        <v/>
      </c>
      <c r="J240" s="244" t="str">
        <f>IF(H240="","",VLOOKUP(A240,'6.A'!$A$11:$E$743,4,FALSE))</f>
        <v/>
      </c>
      <c r="K240" s="244" t="str">
        <f t="shared" si="54"/>
        <v/>
      </c>
      <c r="L240" s="244" t="str">
        <f>IF(H240="","",IF(C240="","",G220*C240))</f>
        <v/>
      </c>
      <c r="M240" s="328" t="str">
        <f>IF(A240="","",VLOOKUP(A240,'6.A'!$A$11:$C$743,2,FALSE))</f>
        <v/>
      </c>
      <c r="N240" s="274" t="str">
        <f t="shared" si="55"/>
        <v/>
      </c>
      <c r="O240" s="273"/>
      <c r="P240" s="273"/>
      <c r="Q240" s="243"/>
      <c r="R240" s="243"/>
      <c r="S240" s="276"/>
    </row>
    <row r="241" spans="1:19" ht="12.75" customHeight="1" x14ac:dyDescent="0.2">
      <c r="A241" s="342"/>
      <c r="B241" s="343"/>
      <c r="C241" s="23"/>
      <c r="D241" s="274"/>
      <c r="E241" s="344"/>
      <c r="F241" s="363">
        <f t="shared" si="52"/>
        <v>0</v>
      </c>
      <c r="G241" s="244"/>
      <c r="H241" s="244" t="str">
        <f>IF(A241="","",VLOOKUP(A241,'6.A'!$A$11:$E$8163,5,FALSE))</f>
        <v/>
      </c>
      <c r="I241" s="244" t="str">
        <f t="shared" si="53"/>
        <v/>
      </c>
      <c r="J241" s="244" t="str">
        <f>IF(H241="","",VLOOKUP(A241,'6.A'!$A$11:$E$743,4,FALSE))</f>
        <v/>
      </c>
      <c r="K241" s="244" t="str">
        <f t="shared" si="54"/>
        <v/>
      </c>
      <c r="L241" s="244" t="str">
        <f>IF(H241="","",IF(C241="","",G220*C241))</f>
        <v/>
      </c>
      <c r="M241" s="328" t="str">
        <f>IF(A241="","",VLOOKUP(A241,'6.A'!$A$11:$C$743,2,FALSE))</f>
        <v/>
      </c>
      <c r="N241" s="274" t="str">
        <f t="shared" si="55"/>
        <v/>
      </c>
      <c r="O241" s="273"/>
      <c r="P241" s="273"/>
      <c r="Q241" s="243"/>
      <c r="R241" s="243"/>
      <c r="S241" s="276"/>
    </row>
    <row r="242" spans="1:19" ht="12.75" customHeight="1" x14ac:dyDescent="0.2">
      <c r="A242" s="342"/>
      <c r="B242" s="343"/>
      <c r="C242" s="23"/>
      <c r="D242" s="274"/>
      <c r="E242" s="344"/>
      <c r="F242" s="363">
        <f t="shared" si="52"/>
        <v>0</v>
      </c>
      <c r="G242" s="244"/>
      <c r="H242" s="244" t="str">
        <f>IF(A242="","",VLOOKUP(A242,'6.A'!$A$11:$E$8163,5,FALSE))</f>
        <v/>
      </c>
      <c r="I242" s="244" t="str">
        <f t="shared" si="53"/>
        <v/>
      </c>
      <c r="J242" s="244" t="str">
        <f>IF(H242="","",VLOOKUP(A242,'6.A'!$A$11:$E$743,4,FALSE))</f>
        <v/>
      </c>
      <c r="K242" s="244" t="str">
        <f t="shared" si="54"/>
        <v/>
      </c>
      <c r="L242" s="244" t="str">
        <f>IF(H242="","",IF(C242="","",G220*C242))</f>
        <v/>
      </c>
      <c r="M242" s="328" t="str">
        <f>IF(A242="","",VLOOKUP(A242,'6.A'!$A$11:$C$743,2,FALSE))</f>
        <v/>
      </c>
      <c r="N242" s="274" t="str">
        <f t="shared" si="55"/>
        <v/>
      </c>
      <c r="O242" s="273"/>
      <c r="P242" s="273"/>
      <c r="Q242" s="243"/>
      <c r="R242" s="243"/>
      <c r="S242" s="276"/>
    </row>
    <row r="243" spans="1:19" ht="12.75" customHeight="1" x14ac:dyDescent="0.2">
      <c r="A243" s="342"/>
      <c r="B243" s="343"/>
      <c r="C243" s="23"/>
      <c r="D243" s="274"/>
      <c r="E243" s="344"/>
      <c r="F243" s="363">
        <f t="shared" si="52"/>
        <v>0</v>
      </c>
      <c r="G243" s="244"/>
      <c r="H243" s="244" t="str">
        <f>IF(A243="","",VLOOKUP(A243,'6.A'!$A$11:$E$8163,5,FALSE))</f>
        <v/>
      </c>
      <c r="I243" s="244" t="str">
        <f t="shared" si="53"/>
        <v/>
      </c>
      <c r="J243" s="244" t="str">
        <f>IF(H243="","",VLOOKUP(A243,'6.A'!$A$11:$E$743,4,FALSE))</f>
        <v/>
      </c>
      <c r="K243" s="244" t="str">
        <f t="shared" si="54"/>
        <v/>
      </c>
      <c r="L243" s="244" t="str">
        <f>IF(H243="","",IF(C243="","",G220*C243))</f>
        <v/>
      </c>
      <c r="M243" s="328" t="str">
        <f>IF(A243="","",VLOOKUP(A243,'6.A'!$A$11:$C$743,2,FALSE))</f>
        <v/>
      </c>
      <c r="N243" s="274" t="str">
        <f t="shared" si="55"/>
        <v/>
      </c>
      <c r="O243" s="273"/>
      <c r="P243" s="273"/>
      <c r="Q243" s="243"/>
      <c r="R243" s="243"/>
      <c r="S243" s="276"/>
    </row>
    <row r="244" spans="1:19" ht="12.75" customHeight="1" x14ac:dyDescent="0.2">
      <c r="A244" s="342"/>
      <c r="B244" s="343"/>
      <c r="C244" s="23"/>
      <c r="D244" s="274"/>
      <c r="E244" s="344"/>
      <c r="F244" s="363">
        <f t="shared" si="52"/>
        <v>0</v>
      </c>
      <c r="G244" s="244"/>
      <c r="H244" s="244" t="str">
        <f>IF(A244="","",VLOOKUP(A244,'6.A'!$A$11:$E$8163,5,FALSE))</f>
        <v/>
      </c>
      <c r="I244" s="244" t="str">
        <f t="shared" si="53"/>
        <v/>
      </c>
      <c r="J244" s="244" t="str">
        <f>IF(H244="","",VLOOKUP(A244,'6.A'!$A$11:$E$743,4,FALSE))</f>
        <v/>
      </c>
      <c r="K244" s="244" t="str">
        <f t="shared" si="54"/>
        <v/>
      </c>
      <c r="L244" s="244" t="str">
        <f>IF(H244="","",IF(C244="","",G220*C244))</f>
        <v/>
      </c>
      <c r="M244" s="328" t="str">
        <f>IF(A244="","",VLOOKUP(A244,'6.A'!$A$11:$C$743,2,FALSE))</f>
        <v/>
      </c>
      <c r="N244" s="274" t="str">
        <f t="shared" si="55"/>
        <v/>
      </c>
      <c r="O244" s="273"/>
      <c r="P244" s="273"/>
      <c r="Q244" s="243"/>
      <c r="R244" s="243"/>
      <c r="S244" s="276"/>
    </row>
    <row r="245" spans="1:19" ht="12.75" customHeight="1" x14ac:dyDescent="0.2">
      <c r="A245" s="342"/>
      <c r="B245" s="343"/>
      <c r="C245" s="23"/>
      <c r="D245" s="274"/>
      <c r="E245" s="344"/>
      <c r="F245" s="363">
        <f t="shared" si="52"/>
        <v>0</v>
      </c>
      <c r="G245" s="244"/>
      <c r="H245" s="244" t="str">
        <f>IF(A245="","",VLOOKUP(A245,'6.A'!$A$11:$E$8163,5,FALSE))</f>
        <v/>
      </c>
      <c r="I245" s="244" t="str">
        <f t="shared" si="53"/>
        <v/>
      </c>
      <c r="J245" s="244" t="str">
        <f>IF(H245="","",VLOOKUP(A245,'6.A'!$A$11:$E$743,4,FALSE))</f>
        <v/>
      </c>
      <c r="K245" s="244" t="str">
        <f t="shared" si="54"/>
        <v/>
      </c>
      <c r="L245" s="244" t="str">
        <f>IF(H245="","",IF(C245="","",G220*C245))</f>
        <v/>
      </c>
      <c r="M245" s="328" t="str">
        <f>IF(A245="","",VLOOKUP(A245,'6.A'!$A$11:$C$743,2,FALSE))</f>
        <v/>
      </c>
      <c r="N245" s="274" t="str">
        <f t="shared" si="55"/>
        <v/>
      </c>
      <c r="O245" s="273"/>
      <c r="P245" s="273"/>
      <c r="Q245" s="243"/>
      <c r="R245" s="243"/>
      <c r="S245" s="276"/>
    </row>
    <row r="246" spans="1:19" ht="12.75" customHeight="1" x14ac:dyDescent="0.2">
      <c r="A246" s="342"/>
      <c r="B246" s="331" t="str">
        <f>$A$9</f>
        <v>BDI - M.O / SERV. / MAT. COMUNS</v>
      </c>
      <c r="C246" s="3">
        <f>$C$9</f>
        <v>0</v>
      </c>
      <c r="D246" s="274"/>
      <c r="F246" s="367">
        <f>ROUND(SUM(F236:F245)*C246,2)</f>
        <v>0</v>
      </c>
      <c r="G246" s="333"/>
      <c r="M246" s="334"/>
      <c r="N246" s="274"/>
      <c r="O246" s="273"/>
      <c r="P246" s="273"/>
      <c r="Q246" s="243"/>
      <c r="R246" s="243"/>
      <c r="S246" s="276"/>
    </row>
    <row r="247" spans="1:19" ht="12.75" customHeight="1" x14ac:dyDescent="0.2">
      <c r="A247" s="369"/>
      <c r="B247" s="345" t="s">
        <v>108</v>
      </c>
      <c r="C247" s="346"/>
      <c r="D247" s="374"/>
      <c r="E247" s="375"/>
      <c r="F247" s="373">
        <f>ROUND(SUM(F236:F246),2)</f>
        <v>0</v>
      </c>
      <c r="G247" s="333"/>
      <c r="M247" s="334"/>
      <c r="N247" s="274"/>
      <c r="O247" s="273"/>
      <c r="P247" s="273"/>
      <c r="Q247" s="243"/>
      <c r="R247" s="243"/>
      <c r="S247" s="276"/>
    </row>
    <row r="248" spans="1:19" ht="12.75" customHeight="1" x14ac:dyDescent="0.2">
      <c r="A248" s="360" t="s">
        <v>6</v>
      </c>
      <c r="B248" s="361" t="s">
        <v>20</v>
      </c>
      <c r="C248" s="273" t="s">
        <v>55</v>
      </c>
      <c r="D248" s="273" t="s">
        <v>19</v>
      </c>
      <c r="E248" s="362" t="s">
        <v>56</v>
      </c>
      <c r="F248" s="288" t="s">
        <v>57</v>
      </c>
      <c r="G248" s="322"/>
      <c r="M248" s="334"/>
      <c r="N248" s="274"/>
      <c r="O248" s="273"/>
      <c r="P248" s="273"/>
      <c r="Q248" s="243"/>
      <c r="R248" s="243"/>
      <c r="S248" s="276"/>
    </row>
    <row r="249" spans="1:19" ht="12.75" customHeight="1" x14ac:dyDescent="0.2">
      <c r="A249" s="342"/>
      <c r="B249" s="343"/>
      <c r="C249" s="23"/>
      <c r="D249" s="274"/>
      <c r="E249" s="344"/>
      <c r="F249" s="363">
        <f>ROUND(C249*E249,2)</f>
        <v>0</v>
      </c>
      <c r="G249" s="244"/>
      <c r="H249" s="244" t="str">
        <f>IF(A249="","",VLOOKUP(A249,'6.A'!$A$11:$E$8163,5,FALSE))</f>
        <v/>
      </c>
      <c r="I249" s="244" t="str">
        <f t="shared" ref="I249:I268" si="56">IF(H249="","",IF(E249=H249,"SIM","NÃO"))</f>
        <v/>
      </c>
      <c r="J249" s="244" t="str">
        <f>IF(H249="","",VLOOKUP(A249,'6.A'!$A$11:$E$743,4,FALSE))</f>
        <v/>
      </c>
      <c r="K249" s="244" t="str">
        <f t="shared" ref="K249:K268" si="57">IF(H249="","",IF(J249=D249,"SIM","NÃO"))</f>
        <v/>
      </c>
      <c r="L249" s="244" t="str">
        <f>IF(H249="","",IF(C249="","",G220*C249))</f>
        <v/>
      </c>
      <c r="M249" s="328" t="str">
        <f>IF(A249="","",VLOOKUP(A249,'6.A'!$A$11:$C$743,2,FALSE))</f>
        <v/>
      </c>
      <c r="N249" s="274" t="str">
        <f t="shared" ref="N249:N268" si="58">IF(A249="","",IF(M249=B249,"si","no"))</f>
        <v/>
      </c>
      <c r="O249" s="273"/>
      <c r="P249" s="273"/>
      <c r="Q249" s="243"/>
      <c r="R249" s="243"/>
      <c r="S249" s="276"/>
    </row>
    <row r="250" spans="1:19" ht="12.75" customHeight="1" x14ac:dyDescent="0.2">
      <c r="A250" s="342"/>
      <c r="B250" s="343"/>
      <c r="C250" s="23"/>
      <c r="D250" s="274"/>
      <c r="E250" s="344"/>
      <c r="F250" s="363">
        <f t="shared" ref="F250:F268" si="59">ROUND(C250*E250,2)</f>
        <v>0</v>
      </c>
      <c r="G250" s="244"/>
      <c r="H250" s="244" t="str">
        <f>IF(A250="","",VLOOKUP(A250,'6.A'!$A$11:$E$8163,5,FALSE))</f>
        <v/>
      </c>
      <c r="I250" s="244" t="str">
        <f t="shared" si="56"/>
        <v/>
      </c>
      <c r="J250" s="244" t="str">
        <f>IF(H250="","",VLOOKUP(A250,'6.A'!$A$11:$E$743,4,FALSE))</f>
        <v/>
      </c>
      <c r="K250" s="244" t="str">
        <f t="shared" si="57"/>
        <v/>
      </c>
      <c r="L250" s="244" t="str">
        <f>IF(H250="","",IF(C250="","",G220*C250))</f>
        <v/>
      </c>
      <c r="M250" s="328" t="str">
        <f>IF(A250="","",VLOOKUP(A250,'6.A'!$A$11:$C$743,2,FALSE))</f>
        <v/>
      </c>
      <c r="N250" s="274" t="str">
        <f t="shared" si="58"/>
        <v/>
      </c>
      <c r="O250" s="273"/>
      <c r="P250" s="273"/>
      <c r="Q250" s="243"/>
      <c r="R250" s="243"/>
      <c r="S250" s="276"/>
    </row>
    <row r="251" spans="1:19" ht="12.75" customHeight="1" x14ac:dyDescent="0.2">
      <c r="A251" s="342"/>
      <c r="B251" s="343"/>
      <c r="C251" s="23"/>
      <c r="D251" s="274"/>
      <c r="E251" s="344"/>
      <c r="F251" s="363">
        <f t="shared" si="59"/>
        <v>0</v>
      </c>
      <c r="G251" s="244"/>
      <c r="H251" s="244" t="str">
        <f>IF(A251="","",VLOOKUP(A251,'6.A'!$A$11:$E$8163,5,FALSE))</f>
        <v/>
      </c>
      <c r="I251" s="244" t="str">
        <f t="shared" si="56"/>
        <v/>
      </c>
      <c r="J251" s="244" t="str">
        <f>IF(H251="","",VLOOKUP(A251,'6.A'!$A$11:$E$743,4,FALSE))</f>
        <v/>
      </c>
      <c r="K251" s="244" t="str">
        <f t="shared" si="57"/>
        <v/>
      </c>
      <c r="L251" s="244" t="str">
        <f>IF(H251="","",IF(C251="","",G220*C251))</f>
        <v/>
      </c>
      <c r="M251" s="328" t="str">
        <f>IF(A251="","",VLOOKUP(A251,'6.A'!$A$11:$C$743,2,FALSE))</f>
        <v/>
      </c>
      <c r="N251" s="274" t="str">
        <f t="shared" si="58"/>
        <v/>
      </c>
      <c r="O251" s="273"/>
      <c r="P251" s="273"/>
      <c r="Q251" s="243"/>
      <c r="R251" s="243"/>
      <c r="S251" s="276"/>
    </row>
    <row r="252" spans="1:19" ht="12.75" customHeight="1" x14ac:dyDescent="0.2">
      <c r="A252" s="342"/>
      <c r="B252" s="343"/>
      <c r="C252" s="23"/>
      <c r="D252" s="274"/>
      <c r="E252" s="344"/>
      <c r="F252" s="363">
        <f t="shared" si="59"/>
        <v>0</v>
      </c>
      <c r="G252" s="244"/>
      <c r="H252" s="244" t="str">
        <f>IF(A252="","",VLOOKUP(A252,'6.A'!$A$11:$E$8163,5,FALSE))</f>
        <v/>
      </c>
      <c r="I252" s="244" t="str">
        <f t="shared" si="56"/>
        <v/>
      </c>
      <c r="J252" s="244" t="str">
        <f>IF(H252="","",VLOOKUP(A252,'6.A'!$A$11:$E$743,4,FALSE))</f>
        <v/>
      </c>
      <c r="K252" s="244" t="str">
        <f t="shared" si="57"/>
        <v/>
      </c>
      <c r="L252" s="244" t="str">
        <f>IF(H252="","",IF(C252="","",G220*C252))</f>
        <v/>
      </c>
      <c r="M252" s="328" t="str">
        <f>IF(A252="","",VLOOKUP(A252,'6.A'!$A$11:$C$743,2,FALSE))</f>
        <v/>
      </c>
      <c r="N252" s="274" t="str">
        <f t="shared" si="58"/>
        <v/>
      </c>
      <c r="O252" s="273"/>
      <c r="P252" s="273"/>
      <c r="Q252" s="243"/>
      <c r="R252" s="243"/>
      <c r="S252" s="276"/>
    </row>
    <row r="253" spans="1:19" ht="12.75" customHeight="1" x14ac:dyDescent="0.2">
      <c r="A253" s="342"/>
      <c r="B253" s="343"/>
      <c r="C253" s="23"/>
      <c r="D253" s="274"/>
      <c r="E253" s="344"/>
      <c r="F253" s="363">
        <f t="shared" si="59"/>
        <v>0</v>
      </c>
      <c r="G253" s="244"/>
      <c r="H253" s="244" t="str">
        <f>IF(A253="","",VLOOKUP(A253,'6.A'!$A$11:$E$8163,5,FALSE))</f>
        <v/>
      </c>
      <c r="I253" s="244" t="str">
        <f t="shared" si="56"/>
        <v/>
      </c>
      <c r="J253" s="244" t="str">
        <f>IF(H253="","",VLOOKUP(A253,'6.A'!$A$11:$E$743,4,FALSE))</f>
        <v/>
      </c>
      <c r="K253" s="244" t="str">
        <f t="shared" si="57"/>
        <v/>
      </c>
      <c r="L253" s="244" t="str">
        <f>IF(H253="","",IF(C253="","",G220*C253))</f>
        <v/>
      </c>
      <c r="M253" s="328" t="str">
        <f>IF(A253="","",VLOOKUP(A253,'6.A'!$A$11:$C$743,2,FALSE))</f>
        <v/>
      </c>
      <c r="N253" s="274" t="str">
        <f t="shared" si="58"/>
        <v/>
      </c>
      <c r="O253" s="273"/>
      <c r="P253" s="273"/>
      <c r="Q253" s="243"/>
      <c r="R253" s="243"/>
      <c r="S253" s="276"/>
    </row>
    <row r="254" spans="1:19" ht="12.75" customHeight="1" x14ac:dyDescent="0.2">
      <c r="A254" s="342"/>
      <c r="B254" s="343"/>
      <c r="C254" s="23"/>
      <c r="D254" s="274"/>
      <c r="E254" s="344"/>
      <c r="F254" s="363">
        <f t="shared" si="59"/>
        <v>0</v>
      </c>
      <c r="G254" s="244"/>
      <c r="H254" s="244" t="str">
        <f>IF(A254="","",VLOOKUP(A254,'6.A'!$A$11:$E$8163,5,FALSE))</f>
        <v/>
      </c>
      <c r="I254" s="244" t="str">
        <f t="shared" si="56"/>
        <v/>
      </c>
      <c r="J254" s="244" t="str">
        <f>IF(H254="","",VLOOKUP(A254,'6.A'!$A$11:$E$743,4,FALSE))</f>
        <v/>
      </c>
      <c r="K254" s="244" t="str">
        <f t="shared" si="57"/>
        <v/>
      </c>
      <c r="L254" s="244" t="str">
        <f>IF(H254="","",IF(C254="","",G220*C254))</f>
        <v/>
      </c>
      <c r="M254" s="328" t="str">
        <f>IF(A254="","",VLOOKUP(A254,'6.A'!$A$11:$C$743,2,FALSE))</f>
        <v/>
      </c>
      <c r="N254" s="274" t="str">
        <f t="shared" si="58"/>
        <v/>
      </c>
      <c r="O254" s="273"/>
      <c r="P254" s="273"/>
      <c r="Q254" s="243"/>
      <c r="R254" s="243"/>
      <c r="S254" s="276"/>
    </row>
    <row r="255" spans="1:19" ht="12.75" customHeight="1" x14ac:dyDescent="0.2">
      <c r="A255" s="342"/>
      <c r="B255" s="343"/>
      <c r="C255" s="23"/>
      <c r="D255" s="274"/>
      <c r="E255" s="344"/>
      <c r="F255" s="363">
        <f t="shared" si="59"/>
        <v>0</v>
      </c>
      <c r="G255" s="244"/>
      <c r="H255" s="244" t="str">
        <f>IF(A255="","",VLOOKUP(A255,'6.A'!$A$11:$E$8163,5,FALSE))</f>
        <v/>
      </c>
      <c r="I255" s="244" t="str">
        <f t="shared" si="56"/>
        <v/>
      </c>
      <c r="J255" s="244" t="str">
        <f>IF(H255="","",VLOOKUP(A255,'6.A'!$A$11:$E$743,4,FALSE))</f>
        <v/>
      </c>
      <c r="K255" s="244" t="str">
        <f t="shared" si="57"/>
        <v/>
      </c>
      <c r="L255" s="244" t="str">
        <f>IF(H255="","",IF(C255="","",G220*C255))</f>
        <v/>
      </c>
      <c r="M255" s="328" t="str">
        <f>IF(A255="","",VLOOKUP(A255,'6.A'!$A$11:$C$743,2,FALSE))</f>
        <v/>
      </c>
      <c r="N255" s="274" t="str">
        <f t="shared" si="58"/>
        <v/>
      </c>
      <c r="O255" s="273"/>
      <c r="P255" s="273"/>
      <c r="Q255" s="243"/>
      <c r="R255" s="243"/>
      <c r="S255" s="276"/>
    </row>
    <row r="256" spans="1:19" ht="12.75" customHeight="1" x14ac:dyDescent="0.2">
      <c r="A256" s="342"/>
      <c r="B256" s="343"/>
      <c r="C256" s="23"/>
      <c r="D256" s="274"/>
      <c r="E256" s="344"/>
      <c r="F256" s="363">
        <f t="shared" si="59"/>
        <v>0</v>
      </c>
      <c r="G256" s="244"/>
      <c r="H256" s="244" t="str">
        <f>IF(A256="","",VLOOKUP(A256,'6.A'!$A$11:$E$8163,5,FALSE))</f>
        <v/>
      </c>
      <c r="I256" s="244" t="str">
        <f t="shared" si="56"/>
        <v/>
      </c>
      <c r="J256" s="244" t="str">
        <f>IF(H256="","",VLOOKUP(A256,'6.A'!$A$11:$E$743,4,FALSE))</f>
        <v/>
      </c>
      <c r="K256" s="244" t="str">
        <f t="shared" si="57"/>
        <v/>
      </c>
      <c r="L256" s="244" t="str">
        <f>IF(H256="","",IF(C256="","",G220*C256))</f>
        <v/>
      </c>
      <c r="M256" s="328" t="str">
        <f>IF(A256="","",VLOOKUP(A256,'6.A'!$A$11:$C$743,2,FALSE))</f>
        <v/>
      </c>
      <c r="N256" s="274" t="str">
        <f t="shared" si="58"/>
        <v/>
      </c>
      <c r="O256" s="273"/>
      <c r="P256" s="273"/>
      <c r="Q256" s="243"/>
      <c r="R256" s="243"/>
      <c r="S256" s="276"/>
    </row>
    <row r="257" spans="1:22" ht="12.75" customHeight="1" x14ac:dyDescent="0.2">
      <c r="A257" s="342"/>
      <c r="B257" s="343"/>
      <c r="C257" s="23"/>
      <c r="D257" s="274"/>
      <c r="E257" s="344"/>
      <c r="F257" s="363">
        <f t="shared" si="59"/>
        <v>0</v>
      </c>
      <c r="G257" s="244"/>
      <c r="H257" s="244" t="str">
        <f>IF(A257="","",VLOOKUP(A257,'6.A'!$A$11:$E$8163,5,FALSE))</f>
        <v/>
      </c>
      <c r="I257" s="244" t="str">
        <f t="shared" si="56"/>
        <v/>
      </c>
      <c r="J257" s="244" t="str">
        <f>IF(H257="","",VLOOKUP(A257,'6.A'!$A$11:$E$743,4,FALSE))</f>
        <v/>
      </c>
      <c r="K257" s="244" t="str">
        <f t="shared" si="57"/>
        <v/>
      </c>
      <c r="L257" s="244" t="str">
        <f>IF(H257="","",IF(C257="","",G220*C257))</f>
        <v/>
      </c>
      <c r="M257" s="328" t="str">
        <f>IF(A257="","",VLOOKUP(A257,'6.A'!$A$11:$C$743,2,FALSE))</f>
        <v/>
      </c>
      <c r="N257" s="274" t="str">
        <f t="shared" si="58"/>
        <v/>
      </c>
      <c r="O257" s="273"/>
      <c r="P257" s="273"/>
      <c r="Q257" s="243"/>
      <c r="R257" s="243"/>
      <c r="S257" s="276"/>
    </row>
    <row r="258" spans="1:22" ht="12.75" customHeight="1" x14ac:dyDescent="0.2">
      <c r="A258" s="342"/>
      <c r="B258" s="343"/>
      <c r="C258" s="23"/>
      <c r="D258" s="274"/>
      <c r="E258" s="344"/>
      <c r="F258" s="363">
        <f t="shared" si="59"/>
        <v>0</v>
      </c>
      <c r="G258" s="244"/>
      <c r="H258" s="244" t="str">
        <f>IF(A258="","",VLOOKUP(A258,'6.A'!$A$11:$E$8163,5,FALSE))</f>
        <v/>
      </c>
      <c r="I258" s="244" t="str">
        <f t="shared" si="56"/>
        <v/>
      </c>
      <c r="J258" s="244" t="str">
        <f>IF(H258="","",VLOOKUP(A258,'6.A'!$A$11:$E$743,4,FALSE))</f>
        <v/>
      </c>
      <c r="K258" s="244" t="str">
        <f t="shared" si="57"/>
        <v/>
      </c>
      <c r="L258" s="244" t="str">
        <f>IF(H258="","",IF(C258="","",G220*C258))</f>
        <v/>
      </c>
      <c r="M258" s="328" t="str">
        <f>IF(A258="","",VLOOKUP(A258,'6.A'!$A$11:$C$743,2,FALSE))</f>
        <v/>
      </c>
      <c r="N258" s="274" t="str">
        <f t="shared" si="58"/>
        <v/>
      </c>
      <c r="O258" s="273"/>
      <c r="P258" s="273"/>
      <c r="Q258" s="243"/>
      <c r="R258" s="243"/>
      <c r="S258" s="276"/>
    </row>
    <row r="259" spans="1:22" ht="12.75" customHeight="1" x14ac:dyDescent="0.2">
      <c r="A259" s="342"/>
      <c r="B259" s="343"/>
      <c r="C259" s="23"/>
      <c r="D259" s="274"/>
      <c r="E259" s="344"/>
      <c r="F259" s="363">
        <f t="shared" si="59"/>
        <v>0</v>
      </c>
      <c r="G259" s="244"/>
      <c r="H259" s="244" t="str">
        <f>IF(A259="","",VLOOKUP(A259,'6.A'!$A$11:$E$8163,5,FALSE))</f>
        <v/>
      </c>
      <c r="I259" s="244" t="str">
        <f t="shared" si="56"/>
        <v/>
      </c>
      <c r="J259" s="244" t="str">
        <f>IF(H259="","",VLOOKUP(A259,'6.A'!$A$11:$E$743,4,FALSE))</f>
        <v/>
      </c>
      <c r="K259" s="244" t="str">
        <f t="shared" si="57"/>
        <v/>
      </c>
      <c r="L259" s="244" t="str">
        <f>IF(H259="","",IF(C259="","",G220*C259))</f>
        <v/>
      </c>
      <c r="M259" s="328" t="str">
        <f>IF(A259="","",VLOOKUP(A259,'6.A'!$A$11:$C$743,2,FALSE))</f>
        <v/>
      </c>
      <c r="N259" s="274" t="str">
        <f t="shared" si="58"/>
        <v/>
      </c>
      <c r="O259" s="273"/>
      <c r="P259" s="273"/>
      <c r="Q259" s="243"/>
      <c r="R259" s="243"/>
      <c r="S259" s="276"/>
    </row>
    <row r="260" spans="1:22" ht="12.75" customHeight="1" x14ac:dyDescent="0.2">
      <c r="A260" s="342"/>
      <c r="B260" s="343"/>
      <c r="C260" s="23"/>
      <c r="D260" s="274"/>
      <c r="E260" s="344"/>
      <c r="F260" s="363">
        <f t="shared" si="59"/>
        <v>0</v>
      </c>
      <c r="G260" s="244"/>
      <c r="H260" s="244" t="str">
        <f>IF(A260="","",VLOOKUP(A260,'6.A'!$A$11:$E$8163,5,FALSE))</f>
        <v/>
      </c>
      <c r="I260" s="244" t="str">
        <f t="shared" si="56"/>
        <v/>
      </c>
      <c r="J260" s="244" t="str">
        <f>IF(H260="","",VLOOKUP(A260,'6.A'!$A$11:$E$743,4,FALSE))</f>
        <v/>
      </c>
      <c r="K260" s="244" t="str">
        <f t="shared" si="57"/>
        <v/>
      </c>
      <c r="L260" s="244" t="str">
        <f>IF(H260="","",IF(C260="","",G220*C260))</f>
        <v/>
      </c>
      <c r="M260" s="328" t="str">
        <f>IF(A260="","",VLOOKUP(A260,'6.A'!$A$11:$C$743,2,FALSE))</f>
        <v/>
      </c>
      <c r="N260" s="274" t="str">
        <f t="shared" si="58"/>
        <v/>
      </c>
      <c r="O260" s="273"/>
      <c r="P260" s="273"/>
      <c r="Q260" s="243"/>
      <c r="R260" s="243"/>
    </row>
    <row r="261" spans="1:22" ht="12.75" customHeight="1" x14ac:dyDescent="0.2">
      <c r="A261" s="342"/>
      <c r="B261" s="343"/>
      <c r="C261" s="23"/>
      <c r="D261" s="274"/>
      <c r="E261" s="344"/>
      <c r="F261" s="363">
        <f t="shared" si="59"/>
        <v>0</v>
      </c>
      <c r="G261" s="244"/>
      <c r="H261" s="244" t="str">
        <f>IF(A261="","",VLOOKUP(A261,'6.A'!$A$11:$E$8163,5,FALSE))</f>
        <v/>
      </c>
      <c r="I261" s="244" t="str">
        <f t="shared" si="56"/>
        <v/>
      </c>
      <c r="J261" s="244" t="str">
        <f>IF(H261="","",VLOOKUP(A261,'6.A'!$A$11:$E$743,4,FALSE))</f>
        <v/>
      </c>
      <c r="K261" s="244" t="str">
        <f t="shared" si="57"/>
        <v/>
      </c>
      <c r="L261" s="244" t="str">
        <f>IF(H261="","",IF(C261="","",G220*C261))</f>
        <v/>
      </c>
      <c r="M261" s="328" t="str">
        <f>IF(A261="","",VLOOKUP(A261,'6.A'!$A$11:$C$743,2,FALSE))</f>
        <v/>
      </c>
      <c r="N261" s="274" t="str">
        <f t="shared" si="58"/>
        <v/>
      </c>
      <c r="O261" s="273"/>
      <c r="P261" s="273"/>
      <c r="Q261" s="243"/>
      <c r="R261" s="243"/>
    </row>
    <row r="262" spans="1:22" ht="12.75" customHeight="1" x14ac:dyDescent="0.2">
      <c r="A262" s="342"/>
      <c r="B262" s="343"/>
      <c r="C262" s="23"/>
      <c r="D262" s="274"/>
      <c r="E262" s="344"/>
      <c r="F262" s="363">
        <f t="shared" si="59"/>
        <v>0</v>
      </c>
      <c r="G262" s="244"/>
      <c r="H262" s="244" t="str">
        <f>IF(A262="","",VLOOKUP(A262,'6.A'!$A$11:$E$8163,5,FALSE))</f>
        <v/>
      </c>
      <c r="I262" s="244" t="str">
        <f t="shared" si="56"/>
        <v/>
      </c>
      <c r="J262" s="244" t="str">
        <f>IF(H262="","",VLOOKUP(A262,'6.A'!$A$11:$E$743,4,FALSE))</f>
        <v/>
      </c>
      <c r="K262" s="244" t="str">
        <f t="shared" si="57"/>
        <v/>
      </c>
      <c r="L262" s="244" t="str">
        <f>IF(H262="","",IF(C262="","",G220*C262))</f>
        <v/>
      </c>
      <c r="M262" s="328" t="str">
        <f>IF(A262="","",VLOOKUP(A262,'6.A'!$A$11:$C$743,2,FALSE))</f>
        <v/>
      </c>
      <c r="N262" s="274" t="str">
        <f t="shared" si="58"/>
        <v/>
      </c>
      <c r="O262" s="273"/>
      <c r="P262" s="273"/>
      <c r="Q262" s="243"/>
      <c r="R262" s="243"/>
    </row>
    <row r="263" spans="1:22" ht="12.75" customHeight="1" x14ac:dyDescent="0.2">
      <c r="A263" s="342"/>
      <c r="B263" s="376"/>
      <c r="C263" s="23"/>
      <c r="D263" s="274"/>
      <c r="E263" s="344"/>
      <c r="F263" s="363">
        <f t="shared" si="59"/>
        <v>0</v>
      </c>
      <c r="G263" s="244"/>
      <c r="H263" s="244" t="str">
        <f>IF(A263="","",VLOOKUP(A263,'6.A'!$A$11:$E$8163,5,FALSE))</f>
        <v/>
      </c>
      <c r="I263" s="244" t="str">
        <f t="shared" si="56"/>
        <v/>
      </c>
      <c r="J263" s="244" t="str">
        <f>IF(H263="","",VLOOKUP(A263,'6.A'!$A$11:$E$743,4,FALSE))</f>
        <v/>
      </c>
      <c r="K263" s="244" t="str">
        <f t="shared" si="57"/>
        <v/>
      </c>
      <c r="L263" s="244" t="str">
        <f>IF(H263="","",IF(C263="","",G220*C263))</f>
        <v/>
      </c>
      <c r="M263" s="328" t="str">
        <f>IF(A263="","",VLOOKUP(A263,'6.A'!$A$11:$C$743,2,FALSE))</f>
        <v/>
      </c>
      <c r="N263" s="274" t="str">
        <f t="shared" si="58"/>
        <v/>
      </c>
      <c r="O263" s="273"/>
      <c r="P263" s="273"/>
      <c r="Q263" s="243"/>
      <c r="R263" s="243"/>
    </row>
    <row r="264" spans="1:22" ht="12.75" customHeight="1" x14ac:dyDescent="0.2">
      <c r="A264" s="342"/>
      <c r="B264" s="376"/>
      <c r="C264" s="23"/>
      <c r="D264" s="274"/>
      <c r="E264" s="344"/>
      <c r="F264" s="363">
        <f t="shared" si="59"/>
        <v>0</v>
      </c>
      <c r="G264" s="244"/>
      <c r="H264" s="244" t="str">
        <f>IF(A264="","",VLOOKUP(A264,'6.A'!$A$11:$E$8163,5,FALSE))</f>
        <v/>
      </c>
      <c r="I264" s="244" t="str">
        <f t="shared" si="56"/>
        <v/>
      </c>
      <c r="J264" s="244" t="str">
        <f>IF(H264="","",VLOOKUP(A264,'6.A'!$A$11:$E$743,4,FALSE))</f>
        <v/>
      </c>
      <c r="K264" s="244" t="str">
        <f t="shared" si="57"/>
        <v/>
      </c>
      <c r="L264" s="244" t="str">
        <f>IF(H264="","",IF(C264="","",G220*C264))</f>
        <v/>
      </c>
      <c r="M264" s="328" t="str">
        <f>IF(A264="","",VLOOKUP(A264,'6.A'!$A$11:$C$743,2,FALSE))</f>
        <v/>
      </c>
      <c r="N264" s="274" t="str">
        <f t="shared" si="58"/>
        <v/>
      </c>
      <c r="O264" s="273"/>
      <c r="P264" s="273"/>
      <c r="Q264" s="243"/>
      <c r="R264" s="243"/>
    </row>
    <row r="265" spans="1:22" ht="12.75" customHeight="1" x14ac:dyDescent="0.2">
      <c r="A265" s="342"/>
      <c r="B265" s="376"/>
      <c r="C265" s="23"/>
      <c r="D265" s="274"/>
      <c r="E265" s="344"/>
      <c r="F265" s="363">
        <f t="shared" si="59"/>
        <v>0</v>
      </c>
      <c r="G265" s="244"/>
      <c r="H265" s="244" t="str">
        <f>IF(A265="","",VLOOKUP(A265,'6.A'!$A$11:$E$8163,5,FALSE))</f>
        <v/>
      </c>
      <c r="I265" s="244" t="str">
        <f t="shared" si="56"/>
        <v/>
      </c>
      <c r="J265" s="244" t="str">
        <f>IF(H265="","",VLOOKUP(A265,'6.A'!$A$11:$E$743,4,FALSE))</f>
        <v/>
      </c>
      <c r="K265" s="244" t="str">
        <f t="shared" si="57"/>
        <v/>
      </c>
      <c r="L265" s="244" t="str">
        <f>IF(H265="","",IF(C265="","",G220*C265))</f>
        <v/>
      </c>
      <c r="M265" s="328" t="str">
        <f>IF(A265="","",VLOOKUP(A265,'6.A'!$A$11:$C$743,2,FALSE))</f>
        <v/>
      </c>
      <c r="N265" s="274" t="str">
        <f t="shared" si="58"/>
        <v/>
      </c>
      <c r="O265" s="273"/>
      <c r="P265" s="273"/>
      <c r="Q265" s="243"/>
      <c r="R265" s="243"/>
    </row>
    <row r="266" spans="1:22" ht="12.75" customHeight="1" x14ac:dyDescent="0.2">
      <c r="A266" s="342"/>
      <c r="B266" s="376"/>
      <c r="C266" s="23"/>
      <c r="D266" s="274"/>
      <c r="E266" s="344"/>
      <c r="F266" s="363">
        <f t="shared" si="59"/>
        <v>0</v>
      </c>
      <c r="G266" s="244"/>
      <c r="H266" s="244" t="str">
        <f>IF(A266="","",VLOOKUP(A266,'6.A'!$A$11:$E$8163,5,FALSE))</f>
        <v/>
      </c>
      <c r="I266" s="244" t="str">
        <f t="shared" si="56"/>
        <v/>
      </c>
      <c r="J266" s="244" t="str">
        <f>IF(H266="","",VLOOKUP(A266,'6.A'!$A$11:$E$743,4,FALSE))</f>
        <v/>
      </c>
      <c r="K266" s="244" t="str">
        <f t="shared" si="57"/>
        <v/>
      </c>
      <c r="L266" s="244" t="str">
        <f>IF(H266="","",IF(C266="","",G220*C266))</f>
        <v/>
      </c>
      <c r="M266" s="328" t="str">
        <f>IF(A266="","",VLOOKUP(A266,'6.A'!$A$11:$C$743,2,FALSE))</f>
        <v/>
      </c>
      <c r="N266" s="274" t="str">
        <f t="shared" si="58"/>
        <v/>
      </c>
      <c r="O266" s="273"/>
      <c r="P266" s="273"/>
      <c r="Q266" s="243"/>
      <c r="R266" s="243"/>
    </row>
    <row r="267" spans="1:22" ht="12.75" customHeight="1" x14ac:dyDescent="0.2">
      <c r="A267" s="342"/>
      <c r="B267" s="376"/>
      <c r="C267" s="23"/>
      <c r="D267" s="274"/>
      <c r="E267" s="344"/>
      <c r="F267" s="363">
        <f t="shared" si="59"/>
        <v>0</v>
      </c>
      <c r="G267" s="244"/>
      <c r="H267" s="244" t="str">
        <f>IF(A267="","",VLOOKUP(A267,'6.A'!$A$11:$E$8163,5,FALSE))</f>
        <v/>
      </c>
      <c r="I267" s="244" t="str">
        <f t="shared" si="56"/>
        <v/>
      </c>
      <c r="J267" s="244" t="str">
        <f>IF(H267="","",VLOOKUP(A267,'6.A'!$A$11:$E$743,4,FALSE))</f>
        <v/>
      </c>
      <c r="K267" s="244" t="str">
        <f t="shared" si="57"/>
        <v/>
      </c>
      <c r="L267" s="244" t="str">
        <f>IF(H267="","",IF(C267="","",G220*C267))</f>
        <v/>
      </c>
      <c r="M267" s="328" t="str">
        <f>IF(A267="","",VLOOKUP(A267,'6.A'!$A$11:$C$743,2,FALSE))</f>
        <v/>
      </c>
      <c r="N267" s="274" t="str">
        <f t="shared" si="58"/>
        <v/>
      </c>
      <c r="O267" s="273"/>
      <c r="P267" s="273"/>
      <c r="Q267" s="243"/>
      <c r="R267" s="243"/>
    </row>
    <row r="268" spans="1:22" ht="12.75" customHeight="1" x14ac:dyDescent="0.2">
      <c r="A268" s="342"/>
      <c r="B268" s="376"/>
      <c r="C268" s="23"/>
      <c r="D268" s="274"/>
      <c r="E268" s="344"/>
      <c r="F268" s="363">
        <f t="shared" si="59"/>
        <v>0</v>
      </c>
      <c r="G268" s="244"/>
      <c r="H268" s="244" t="str">
        <f>IF(A268="","",VLOOKUP(A268,'6.A'!$A$11:$E$8163,5,FALSE))</f>
        <v/>
      </c>
      <c r="I268" s="244" t="str">
        <f t="shared" si="56"/>
        <v/>
      </c>
      <c r="J268" s="244" t="str">
        <f>IF(H268="","",VLOOKUP(A268,'6.A'!$A$11:$E$743,4,FALSE))</f>
        <v/>
      </c>
      <c r="K268" s="244" t="str">
        <f t="shared" si="57"/>
        <v/>
      </c>
      <c r="L268" s="244" t="str">
        <f>IF(H268="","",IF(C268="","",G220*C268))</f>
        <v/>
      </c>
      <c r="M268" s="328" t="str">
        <f>IF(A268="","",VLOOKUP(A268,'6.A'!$A$11:$C$743,2,FALSE))</f>
        <v/>
      </c>
      <c r="N268" s="274" t="str">
        <f t="shared" si="58"/>
        <v/>
      </c>
      <c r="O268" s="273"/>
      <c r="P268" s="273"/>
      <c r="Q268" s="243"/>
      <c r="R268" s="243"/>
    </row>
    <row r="269" spans="1:22" ht="12.75" customHeight="1" x14ac:dyDescent="0.2">
      <c r="A269" s="342"/>
      <c r="B269" s="331" t="str">
        <f>$A$9</f>
        <v>BDI - M.O / SERV. / MAT. COMUNS</v>
      </c>
      <c r="C269" s="350">
        <f>$C$9</f>
        <v>0</v>
      </c>
      <c r="D269" s="274"/>
      <c r="F269" s="367">
        <f>ROUND(SUM(F250:F268)*C269,2)</f>
        <v>0</v>
      </c>
      <c r="G269" s="333"/>
      <c r="M269" s="274"/>
      <c r="N269" s="274"/>
      <c r="O269" s="273"/>
      <c r="P269" s="273"/>
      <c r="Q269" s="243"/>
      <c r="R269" s="243"/>
    </row>
    <row r="270" spans="1:22" ht="12.75" customHeight="1" thickBot="1" x14ac:dyDescent="0.25">
      <c r="A270" s="377"/>
      <c r="B270" s="352" t="s">
        <v>53</v>
      </c>
      <c r="C270" s="4"/>
      <c r="D270" s="378"/>
      <c r="E270" s="379"/>
      <c r="F270" s="380">
        <f>ROUND(SUM(F250:F269),2)</f>
        <v>0</v>
      </c>
      <c r="G270" s="333"/>
      <c r="M270" s="274"/>
      <c r="N270" s="274"/>
      <c r="O270" s="273"/>
      <c r="P270" s="273"/>
      <c r="Q270" s="243"/>
      <c r="R270" s="243"/>
    </row>
    <row r="271" spans="1:22" ht="9.9499999999999993" customHeight="1" thickBot="1" x14ac:dyDescent="0.25">
      <c r="A271" s="356"/>
      <c r="B271" s="285"/>
      <c r="C271" s="286"/>
      <c r="D271" s="274"/>
      <c r="F271" s="289"/>
      <c r="G271" s="289"/>
      <c r="M271" s="274"/>
      <c r="N271" s="274"/>
      <c r="O271" s="273"/>
      <c r="P271" s="273"/>
      <c r="Q271" s="243"/>
      <c r="R271" s="243"/>
    </row>
    <row r="272" spans="1:22" ht="50.1" customHeight="1" x14ac:dyDescent="0.2">
      <c r="A272" s="357" t="str">
        <f>'3.A'!$A$39</f>
        <v>6.1</v>
      </c>
      <c r="B272" s="358" t="str">
        <f>'3.A'!$B$39</f>
        <v>FORNECIMENTO E INSTALAÇÃO COMPLETA DE QUADRO DE APOIO E GRADE  DE PISO EM POLÍMERO REFORÇADO COM FIBRA DE VIDRO</v>
      </c>
      <c r="C272" s="602" t="s">
        <v>58</v>
      </c>
      <c r="D272" s="603"/>
      <c r="E272" s="359" t="str">
        <f>'3.A'!$C$39</f>
        <v>M²</v>
      </c>
      <c r="F272" s="2">
        <f>ROUND(F286+F299+F322,2)</f>
        <v>0</v>
      </c>
      <c r="G272" s="309">
        <f>VLOOKUP(A272,'3.A'!$A$1:$I$195,4,FALSE)</f>
        <v>353.4</v>
      </c>
      <c r="H272" s="310">
        <f>SUM(F274:F285)</f>
        <v>0</v>
      </c>
      <c r="I272" s="310">
        <f>SUM(F288:F298)</f>
        <v>0</v>
      </c>
      <c r="J272" s="310">
        <f>SUM(F301:F321)</f>
        <v>0</v>
      </c>
      <c r="K272" s="310">
        <f>SUM(H272:J272)</f>
        <v>0</v>
      </c>
      <c r="L272" s="310" t="str">
        <f>IF(K272=F272,"SIM","NÃO")</f>
        <v>SIM</v>
      </c>
      <c r="M272" s="311">
        <f>ROUND(SUM(F274:F283)*C284,2)+ROUND(SUM(F274:F284)*C285,2)+ROUND(SUM(F274:F283),2)+ROUND(SUM(F288:F297)*C298,2)+ROUND(SUM(F288:F297),2)+ROUND(SUM(F301:F320)*C321,2)+ROUND(SUM(F301:F320),2)</f>
        <v>0</v>
      </c>
      <c r="N272" s="280" t="str">
        <f>IF(M272=F272,"SIM","NÃO")</f>
        <v>SIM</v>
      </c>
      <c r="O272" s="281" t="str">
        <f>VLOOKUP(A272,'3.A'!$A$9:$E$195,3,FALSE)</f>
        <v>M²</v>
      </c>
      <c r="P272" s="281" t="str">
        <f>IF(O272=E272,"SIM","NÃO")</f>
        <v>SIM</v>
      </c>
      <c r="Q272" s="312">
        <f>ROUND(G272*F286,2)+ROUND(G272*F299,2)+ROUND(G272*F322,2)</f>
        <v>0</v>
      </c>
      <c r="R272" s="313">
        <f>VLOOKUP(A272,'3.A'!$A$18:$L$195,9,FALSE)</f>
        <v>0</v>
      </c>
      <c r="S272" s="314" t="str">
        <f>IF(Q272=R272,"si","no")</f>
        <v>si</v>
      </c>
      <c r="T272" s="315">
        <f>SUM(L274:L283)+SUM(L288:L297)+SUM(L301:L320)</f>
        <v>353.4</v>
      </c>
      <c r="U272" s="244">
        <f>G272*C280+G272*C282+G272*C276+G272*C275+G272*C277+G272*C281+G272*C279+G272*C278+G272*C274+G272*C283+G272*C294+G272*C288+G272*C296+G272*C295+G272*C293+G272*C290+G272*C289+G272*C291+G272*C297+G272*C292+G272*C301+G272*C302+G272*C303+G272*C311+G272*C312+G272*C313+G272*C314+G272*C315+G272*C316+G272*C317+G272*C318+G272*C319+G272*C320+G272*C309+G272*C310+G272*C304+G272*C305+G272*C306+G272*C307+G272*C308</f>
        <v>353.4</v>
      </c>
      <c r="V272" s="316" t="str">
        <f>IF(T272=U272,"si","no")</f>
        <v>si</v>
      </c>
    </row>
    <row r="273" spans="1:18" ht="12.75" customHeight="1" x14ac:dyDescent="0.2">
      <c r="A273" s="360" t="s">
        <v>2</v>
      </c>
      <c r="B273" s="361" t="s">
        <v>54</v>
      </c>
      <c r="C273" s="273" t="s">
        <v>55</v>
      </c>
      <c r="D273" s="273" t="s">
        <v>19</v>
      </c>
      <c r="E273" s="362" t="s">
        <v>56</v>
      </c>
      <c r="F273" s="288" t="s">
        <v>57</v>
      </c>
      <c r="G273" s="322"/>
      <c r="M273" s="274"/>
      <c r="N273" s="274"/>
      <c r="O273" s="273"/>
      <c r="P273" s="273"/>
      <c r="Q273" s="243"/>
      <c r="R273" s="243"/>
    </row>
    <row r="274" spans="1:18" ht="12.75" customHeight="1" x14ac:dyDescent="0.2">
      <c r="A274" s="342"/>
      <c r="B274" s="343"/>
      <c r="C274" s="23"/>
      <c r="D274" s="274"/>
      <c r="E274" s="344"/>
      <c r="F274" s="363">
        <f t="shared" ref="F274:F283" si="60">ROUND(C274*E274,2)</f>
        <v>0</v>
      </c>
      <c r="G274" s="244"/>
      <c r="H274" s="244" t="str">
        <f>IF(A274="","",VLOOKUP(A274,'6.A'!$A$11:$E$8163,5,FALSE))</f>
        <v/>
      </c>
      <c r="I274" s="244" t="str">
        <f>IF(H274="","",IF(E274=H274,"SIM","NÃO"))</f>
        <v/>
      </c>
      <c r="J274" s="244" t="str">
        <f>IF(H274="","",VLOOKUP(A274,'6.A'!$A$11:$E$743,4,FALSE))</f>
        <v/>
      </c>
      <c r="K274" s="244" t="str">
        <f>IF(H274="","",IF(J274=D274,"SIM","NÃO"))</f>
        <v/>
      </c>
      <c r="L274" s="244" t="str">
        <f>IF(H274="","",IF(C274="","",G272*C274))</f>
        <v/>
      </c>
      <c r="M274" s="328" t="str">
        <f>IF(A274="","",VLOOKUP(A274,'6.A'!$A$11:$C$743,2,FALSE))</f>
        <v/>
      </c>
      <c r="N274" s="274" t="str">
        <f>IF(A274="","",IF(M274=B274,"si","no"))</f>
        <v/>
      </c>
      <c r="O274" s="273"/>
      <c r="P274" s="273"/>
      <c r="Q274" s="243"/>
      <c r="R274" s="243"/>
    </row>
    <row r="275" spans="1:18" ht="12.75" customHeight="1" x14ac:dyDescent="0.2">
      <c r="A275" s="342"/>
      <c r="B275" s="343"/>
      <c r="C275" s="23"/>
      <c r="D275" s="274"/>
      <c r="E275" s="344"/>
      <c r="F275" s="363">
        <f t="shared" si="60"/>
        <v>0</v>
      </c>
      <c r="G275" s="244"/>
      <c r="H275" s="244" t="str">
        <f>IF(A275="","",VLOOKUP(A275,'6.A'!$A$11:$E$8163,5,FALSE))</f>
        <v/>
      </c>
      <c r="I275" s="244" t="str">
        <f t="shared" ref="I275:I283" si="61">IF(H275="","",IF(E275=H275,"SIM","NÃO"))</f>
        <v/>
      </c>
      <c r="J275" s="244" t="str">
        <f>IF(H275="","",VLOOKUP(A275,'6.A'!$A$11:$E$743,4,FALSE))</f>
        <v/>
      </c>
      <c r="K275" s="244" t="str">
        <f t="shared" ref="K275:K283" si="62">IF(H275="","",IF(J275=D275,"SIM","NÃO"))</f>
        <v/>
      </c>
      <c r="L275" s="244" t="str">
        <f>IF(H275="","",IF(C275="","",G272*C275))</f>
        <v/>
      </c>
      <c r="M275" s="328" t="str">
        <f>IF(A275="","",VLOOKUP(A275,'6.A'!$A$11:$C$743,2,FALSE))</f>
        <v/>
      </c>
      <c r="N275" s="274" t="str">
        <f t="shared" ref="N275:N283" si="63">IF(A275="","",IF(M275=B275,"si","no"))</f>
        <v/>
      </c>
      <c r="O275" s="273"/>
      <c r="P275" s="273"/>
      <c r="Q275" s="243"/>
      <c r="R275" s="243"/>
    </row>
    <row r="276" spans="1:18" ht="12.75" customHeight="1" x14ac:dyDescent="0.2">
      <c r="A276" s="342"/>
      <c r="B276" s="343"/>
      <c r="C276" s="23"/>
      <c r="D276" s="274"/>
      <c r="E276" s="344"/>
      <c r="F276" s="363">
        <f t="shared" si="60"/>
        <v>0</v>
      </c>
      <c r="G276" s="244"/>
      <c r="H276" s="244" t="str">
        <f>IF(A276="","",VLOOKUP(A276,'6.A'!$A$11:$E$8163,5,FALSE))</f>
        <v/>
      </c>
      <c r="I276" s="244" t="str">
        <f t="shared" si="61"/>
        <v/>
      </c>
      <c r="J276" s="244" t="str">
        <f>IF(H276="","",VLOOKUP(A276,'6.A'!$A$11:$E$743,4,FALSE))</f>
        <v/>
      </c>
      <c r="K276" s="244" t="str">
        <f t="shared" si="62"/>
        <v/>
      </c>
      <c r="L276" s="244" t="str">
        <f>IF(H276="","",IF(C276="","",G272*C276))</f>
        <v/>
      </c>
      <c r="M276" s="328" t="str">
        <f>IF(A276="","",VLOOKUP(A276,'6.A'!$A$11:$C$743,2,FALSE))</f>
        <v/>
      </c>
      <c r="N276" s="274" t="str">
        <f t="shared" si="63"/>
        <v/>
      </c>
      <c r="O276" s="273"/>
      <c r="P276" s="273"/>
      <c r="Q276" s="243"/>
      <c r="R276" s="243"/>
    </row>
    <row r="277" spans="1:18" ht="12.75" customHeight="1" x14ac:dyDescent="0.2">
      <c r="A277" s="342"/>
      <c r="B277" s="343"/>
      <c r="C277" s="23"/>
      <c r="D277" s="274"/>
      <c r="E277" s="344"/>
      <c r="F277" s="363">
        <f t="shared" si="60"/>
        <v>0</v>
      </c>
      <c r="G277" s="244"/>
      <c r="H277" s="244" t="str">
        <f>IF(A277="","",VLOOKUP(A277,'6.A'!$A$11:$E$8163,5,FALSE))</f>
        <v/>
      </c>
      <c r="I277" s="244" t="str">
        <f t="shared" si="61"/>
        <v/>
      </c>
      <c r="J277" s="244" t="str">
        <f>IF(H277="","",VLOOKUP(A277,'6.A'!$A$11:$E$743,4,FALSE))</f>
        <v/>
      </c>
      <c r="K277" s="244" t="str">
        <f t="shared" si="62"/>
        <v/>
      </c>
      <c r="L277" s="244" t="str">
        <f>IF(H277="","",IF(C277="","",G272*C277))</f>
        <v/>
      </c>
      <c r="M277" s="328" t="str">
        <f>IF(A277="","",VLOOKUP(A277,'6.A'!$A$11:$C$743,2,FALSE))</f>
        <v/>
      </c>
      <c r="N277" s="274" t="str">
        <f t="shared" si="63"/>
        <v/>
      </c>
      <c r="O277" s="273"/>
      <c r="P277" s="273"/>
      <c r="Q277" s="243"/>
      <c r="R277" s="243"/>
    </row>
    <row r="278" spans="1:18" ht="12.75" customHeight="1" x14ac:dyDescent="0.2">
      <c r="A278" s="342"/>
      <c r="B278" s="343"/>
      <c r="C278" s="23"/>
      <c r="D278" s="274"/>
      <c r="E278" s="364"/>
      <c r="F278" s="363">
        <f t="shared" si="60"/>
        <v>0</v>
      </c>
      <c r="G278" s="244"/>
      <c r="H278" s="244" t="str">
        <f>IF(A278="","",VLOOKUP(A278,'6.A'!$A$11:$E$8163,5,FALSE))</f>
        <v/>
      </c>
      <c r="I278" s="244" t="str">
        <f t="shared" si="61"/>
        <v/>
      </c>
      <c r="J278" s="244" t="str">
        <f>IF(H278="","",VLOOKUP(A278,'6.A'!$A$11:$E$743,4,FALSE))</f>
        <v/>
      </c>
      <c r="K278" s="244" t="str">
        <f t="shared" si="62"/>
        <v/>
      </c>
      <c r="L278" s="244" t="str">
        <f>IF(H278="","",IF(C278="","",G272*C278))</f>
        <v/>
      </c>
      <c r="M278" s="328" t="str">
        <f>IF(A278="","",VLOOKUP(A278,'6.A'!$A$11:$C$743,2,FALSE))</f>
        <v/>
      </c>
      <c r="N278" s="274" t="str">
        <f t="shared" si="63"/>
        <v/>
      </c>
      <c r="O278" s="273"/>
      <c r="P278" s="273"/>
      <c r="Q278" s="243"/>
      <c r="R278" s="243"/>
    </row>
    <row r="279" spans="1:18" ht="12.75" customHeight="1" x14ac:dyDescent="0.2">
      <c r="A279" s="342"/>
      <c r="B279" s="343"/>
      <c r="C279" s="23"/>
      <c r="D279" s="274"/>
      <c r="E279" s="364"/>
      <c r="F279" s="363">
        <f t="shared" si="60"/>
        <v>0</v>
      </c>
      <c r="G279" s="244"/>
      <c r="H279" s="244" t="str">
        <f>IF(A279="","",VLOOKUP(A279,'6.A'!$A$11:$E$8163,5,FALSE))</f>
        <v/>
      </c>
      <c r="I279" s="244" t="str">
        <f t="shared" si="61"/>
        <v/>
      </c>
      <c r="J279" s="244" t="str">
        <f>IF(H279="","",VLOOKUP(A279,'6.A'!$A$11:$E$743,4,FALSE))</f>
        <v/>
      </c>
      <c r="K279" s="244" t="str">
        <f t="shared" si="62"/>
        <v/>
      </c>
      <c r="L279" s="244" t="str">
        <f>IF(H279="","",IF(C279="","",G272*C279))</f>
        <v/>
      </c>
      <c r="M279" s="328" t="str">
        <f>IF(A279="","",VLOOKUP(A279,'6.A'!$A$11:$C$743,2,FALSE))</f>
        <v/>
      </c>
      <c r="N279" s="274" t="str">
        <f t="shared" si="63"/>
        <v/>
      </c>
      <c r="O279" s="273"/>
      <c r="P279" s="273"/>
      <c r="Q279" s="243"/>
      <c r="R279" s="243"/>
    </row>
    <row r="280" spans="1:18" ht="12.75" customHeight="1" x14ac:dyDescent="0.2">
      <c r="A280" s="342"/>
      <c r="B280" s="343"/>
      <c r="C280" s="23"/>
      <c r="D280" s="274"/>
      <c r="E280" s="344"/>
      <c r="F280" s="363">
        <f>ROUND(C280*E280,2)</f>
        <v>0</v>
      </c>
      <c r="G280" s="244"/>
      <c r="H280" s="244" t="str">
        <f>IF(A280="","",VLOOKUP(A280,'6.A'!$A$11:$E$8163,5,FALSE))</f>
        <v/>
      </c>
      <c r="I280" s="244" t="str">
        <f t="shared" si="61"/>
        <v/>
      </c>
      <c r="J280" s="244" t="str">
        <f>IF(H280="","",VLOOKUP(A280,'6.A'!$A$11:$E$743,4,FALSE))</f>
        <v/>
      </c>
      <c r="K280" s="244" t="str">
        <f t="shared" si="62"/>
        <v/>
      </c>
      <c r="L280" s="244" t="str">
        <f>IF(H280="","",IF(C280="","",G272*C280))</f>
        <v/>
      </c>
      <c r="M280" s="328" t="str">
        <f>IF(A280="","",VLOOKUP(A280,'6.A'!$A$11:$C$743,2,FALSE))</f>
        <v/>
      </c>
      <c r="N280" s="274" t="str">
        <f t="shared" si="63"/>
        <v/>
      </c>
      <c r="O280" s="273"/>
      <c r="P280" s="273"/>
      <c r="Q280" s="243"/>
      <c r="R280" s="243"/>
    </row>
    <row r="281" spans="1:18" ht="12.75" customHeight="1" x14ac:dyDescent="0.2">
      <c r="A281" s="342"/>
      <c r="B281" s="343"/>
      <c r="C281" s="23"/>
      <c r="D281" s="274"/>
      <c r="E281" s="344"/>
      <c r="F281" s="363">
        <f t="shared" si="60"/>
        <v>0</v>
      </c>
      <c r="G281" s="244"/>
      <c r="H281" s="244" t="str">
        <f>IF(A281="","",VLOOKUP(A281,'6.A'!$A$11:$E$8163,5,FALSE))</f>
        <v/>
      </c>
      <c r="I281" s="244" t="str">
        <f t="shared" si="61"/>
        <v/>
      </c>
      <c r="J281" s="244" t="str">
        <f>IF(H281="","",VLOOKUP(A281,'6.A'!$A$11:$E$743,4,FALSE))</f>
        <v/>
      </c>
      <c r="K281" s="244" t="str">
        <f t="shared" si="62"/>
        <v/>
      </c>
      <c r="L281" s="244" t="str">
        <f>IF(H281="","",IF(C281="","",G272*C281))</f>
        <v/>
      </c>
      <c r="M281" s="328" t="str">
        <f>IF(A281="","",VLOOKUP(A281,'6.A'!$A$11:$C$743,2,FALSE))</f>
        <v/>
      </c>
      <c r="N281" s="274" t="str">
        <f t="shared" si="63"/>
        <v/>
      </c>
      <c r="O281" s="273"/>
      <c r="P281" s="273"/>
      <c r="Q281" s="243"/>
      <c r="R281" s="243"/>
    </row>
    <row r="282" spans="1:18" ht="12.75" customHeight="1" x14ac:dyDescent="0.2">
      <c r="A282" s="342"/>
      <c r="B282" s="343"/>
      <c r="C282" s="23"/>
      <c r="D282" s="365"/>
      <c r="E282" s="364"/>
      <c r="F282" s="363">
        <f t="shared" si="60"/>
        <v>0</v>
      </c>
      <c r="G282" s="244"/>
      <c r="H282" s="244" t="str">
        <f>IF(A282="","",VLOOKUP(A282,'6.A'!$A$11:$E$8163,5,FALSE))</f>
        <v/>
      </c>
      <c r="I282" s="244" t="str">
        <f t="shared" si="61"/>
        <v/>
      </c>
      <c r="J282" s="244" t="str">
        <f>IF(H282="","",VLOOKUP(A282,'6.A'!$A$11:$E$743,4,FALSE))</f>
        <v/>
      </c>
      <c r="K282" s="244" t="str">
        <f t="shared" si="62"/>
        <v/>
      </c>
      <c r="L282" s="244" t="str">
        <f>IF(H282="","",IF(C282="","",G272*C282))</f>
        <v/>
      </c>
      <c r="M282" s="328" t="str">
        <f>IF(A282="","",VLOOKUP(A282,'6.A'!$A$11:$C$743,2,FALSE))</f>
        <v/>
      </c>
      <c r="N282" s="274" t="str">
        <f t="shared" si="63"/>
        <v/>
      </c>
      <c r="O282" s="273"/>
      <c r="P282" s="273"/>
      <c r="Q282" s="243"/>
      <c r="R282" s="243"/>
    </row>
    <row r="283" spans="1:18" ht="12.75" customHeight="1" x14ac:dyDescent="0.2">
      <c r="A283" s="342"/>
      <c r="B283" s="343"/>
      <c r="C283" s="23"/>
      <c r="D283" s="366"/>
      <c r="E283" s="364"/>
      <c r="F283" s="363">
        <f t="shared" si="60"/>
        <v>0</v>
      </c>
      <c r="G283" s="244"/>
      <c r="H283" s="244" t="str">
        <f>IF(A283="","",VLOOKUP(A283,'6.A'!$A$11:$E$8163,5,FALSE))</f>
        <v/>
      </c>
      <c r="I283" s="244" t="str">
        <f t="shared" si="61"/>
        <v/>
      </c>
      <c r="J283" s="244" t="str">
        <f>IF(H283="","",VLOOKUP(A283,'6.A'!$A$11:$E$743,4,FALSE))</f>
        <v/>
      </c>
      <c r="K283" s="244" t="str">
        <f t="shared" si="62"/>
        <v/>
      </c>
      <c r="L283" s="244" t="str">
        <f>IF(H283="","",IF(C283="","",G272*C283))</f>
        <v/>
      </c>
      <c r="M283" s="328" t="str">
        <f>IF(A283="","",VLOOKUP(A283,'6.A'!$A$11:$C$743,2,FALSE))</f>
        <v/>
      </c>
      <c r="N283" s="274" t="str">
        <f t="shared" si="63"/>
        <v/>
      </c>
      <c r="O283" s="273"/>
      <c r="P283" s="273"/>
      <c r="Q283" s="243"/>
      <c r="R283" s="243"/>
    </row>
    <row r="284" spans="1:18" ht="12.75" customHeight="1" x14ac:dyDescent="0.2">
      <c r="A284" s="360"/>
      <c r="B284" s="331" t="str">
        <f>$A$8</f>
        <v>LEIS SOCIAIS HORISTA - JORNADA NORMAL</v>
      </c>
      <c r="C284" s="3">
        <f>$C$8</f>
        <v>0</v>
      </c>
      <c r="D284" s="274"/>
      <c r="F284" s="367">
        <f>ROUND(SUM(F274:F283)*C284,2)</f>
        <v>0</v>
      </c>
      <c r="G284" s="333"/>
      <c r="M284" s="334"/>
      <c r="N284" s="274"/>
      <c r="O284" s="273"/>
      <c r="P284" s="273"/>
      <c r="Q284" s="243"/>
      <c r="R284" s="243"/>
    </row>
    <row r="285" spans="1:18" ht="12.75" customHeight="1" x14ac:dyDescent="0.2">
      <c r="A285" s="342"/>
      <c r="B285" s="331" t="str">
        <f>$A$9</f>
        <v>BDI - M.O / SERV. / MAT. COMUNS</v>
      </c>
      <c r="C285" s="3">
        <f>$C$9</f>
        <v>0</v>
      </c>
      <c r="D285" s="368"/>
      <c r="F285" s="367">
        <f>ROUND(SUM(F274:F284)*C285,2)</f>
        <v>0</v>
      </c>
      <c r="G285" s="333"/>
      <c r="M285" s="334"/>
      <c r="N285" s="274"/>
      <c r="O285" s="273"/>
      <c r="P285" s="273"/>
      <c r="Q285" s="243"/>
      <c r="R285" s="243"/>
    </row>
    <row r="286" spans="1:18" ht="12.75" customHeight="1" x14ac:dyDescent="0.2">
      <c r="A286" s="369"/>
      <c r="B286" s="345" t="s">
        <v>52</v>
      </c>
      <c r="C286" s="370"/>
      <c r="D286" s="371"/>
      <c r="E286" s="372"/>
      <c r="F286" s="373">
        <f>ROUND(SUM(F274:F285),2)</f>
        <v>0</v>
      </c>
      <c r="G286" s="333"/>
      <c r="M286" s="334"/>
      <c r="N286" s="274"/>
      <c r="O286" s="273"/>
      <c r="P286" s="273"/>
      <c r="Q286" s="243"/>
      <c r="R286" s="243"/>
    </row>
    <row r="287" spans="1:18" ht="12.75" customHeight="1" x14ac:dyDescent="0.2">
      <c r="A287" s="360" t="s">
        <v>4</v>
      </c>
      <c r="B287" s="318" t="s">
        <v>117</v>
      </c>
      <c r="C287" s="273" t="s">
        <v>55</v>
      </c>
      <c r="D287" s="273" t="s">
        <v>19</v>
      </c>
      <c r="E287" s="362" t="s">
        <v>56</v>
      </c>
      <c r="F287" s="288" t="s">
        <v>57</v>
      </c>
      <c r="G287" s="322"/>
      <c r="M287" s="334"/>
      <c r="N287" s="274"/>
      <c r="O287" s="273"/>
      <c r="P287" s="273"/>
      <c r="Q287" s="243"/>
      <c r="R287" s="243"/>
    </row>
    <row r="288" spans="1:18" ht="12.75" customHeight="1" x14ac:dyDescent="0.2">
      <c r="A288" s="342">
        <f>'6.A'!A19</f>
        <v>70110171</v>
      </c>
      <c r="B288" s="381" t="str">
        <f>'6.A'!$B$19</f>
        <v>GRADE PISO INJETADA PRFV H=38MM E=4MM VÃO 38X38MM INCLUIDO QUADRO DE APOIO</v>
      </c>
      <c r="C288" s="23">
        <v>1</v>
      </c>
      <c r="D288" s="274" t="str">
        <f>'6.A'!$D$19</f>
        <v>M²</v>
      </c>
      <c r="E288" s="344">
        <f>'6.A'!$E$19</f>
        <v>0</v>
      </c>
      <c r="F288" s="363">
        <f t="shared" ref="F288:F297" si="64">ROUND(C288*E288,2)</f>
        <v>0</v>
      </c>
      <c r="G288" s="244"/>
      <c r="H288" s="244">
        <f>IF(A288="","",VLOOKUP(A288,'6.A'!$A$11:$E$8163,5,FALSE))</f>
        <v>0</v>
      </c>
      <c r="I288" s="244" t="str">
        <f t="shared" ref="I288:I297" si="65">IF(H288="","",IF(E288=H288,"SIM","NÃO"))</f>
        <v>SIM</v>
      </c>
      <c r="J288" s="244" t="str">
        <f>IF(H288="","",VLOOKUP(A288,'6.A'!$A$11:$E$743,4,FALSE))</f>
        <v>M²</v>
      </c>
      <c r="K288" s="244" t="str">
        <f t="shared" ref="K288:K297" si="66">IF(H288="","",IF(J288=D288,"SIM","NÃO"))</f>
        <v>SIM</v>
      </c>
      <c r="L288" s="244">
        <f>IF(H288="","",IF(C288="","",G272*C288))</f>
        <v>353.4</v>
      </c>
      <c r="M288" s="328" t="str">
        <f>IF(A288="","",VLOOKUP(A288,'6.A'!$A$11:$C$743,2,FALSE))</f>
        <v>GRADE PISO INJETADA PRFV H=38MM E=4MM VÃO 38X38MM INCLUIDO QUADRO DE APOIO</v>
      </c>
      <c r="N288" s="274" t="str">
        <f t="shared" ref="N288:N297" si="67">IF(A288="","",IF(M288=B288,"si","no"))</f>
        <v>si</v>
      </c>
      <c r="O288" s="273"/>
      <c r="P288" s="273"/>
      <c r="Q288" s="243"/>
      <c r="R288" s="243"/>
    </row>
    <row r="289" spans="1:18" ht="12.75" customHeight="1" x14ac:dyDescent="0.2">
      <c r="A289" s="342"/>
      <c r="B289" s="343"/>
      <c r="C289" s="23"/>
      <c r="D289" s="274"/>
      <c r="E289" s="344"/>
      <c r="F289" s="363">
        <f t="shared" si="64"/>
        <v>0</v>
      </c>
      <c r="G289" s="244"/>
      <c r="H289" s="244" t="str">
        <f>IF(A289="","",VLOOKUP(A289,'6.A'!$A$11:$E$8163,5,FALSE))</f>
        <v/>
      </c>
      <c r="I289" s="244" t="str">
        <f t="shared" si="65"/>
        <v/>
      </c>
      <c r="J289" s="244" t="str">
        <f>IF(H289="","",VLOOKUP(A289,'6.A'!$A$11:$E$743,4,FALSE))</f>
        <v/>
      </c>
      <c r="K289" s="244" t="str">
        <f t="shared" si="66"/>
        <v/>
      </c>
      <c r="L289" s="244" t="str">
        <f>IF(H289="","",IF(C289="","",G272*C289))</f>
        <v/>
      </c>
      <c r="M289" s="328" t="str">
        <f>IF(A289="","",VLOOKUP(A289,'6.A'!$A$11:$C$743,2,FALSE))</f>
        <v/>
      </c>
      <c r="N289" s="274" t="str">
        <f t="shared" si="67"/>
        <v/>
      </c>
      <c r="O289" s="273"/>
      <c r="P289" s="273"/>
      <c r="Q289" s="243"/>
      <c r="R289" s="243"/>
    </row>
    <row r="290" spans="1:18" ht="12.75" customHeight="1" x14ac:dyDescent="0.2">
      <c r="A290" s="342"/>
      <c r="B290" s="343"/>
      <c r="C290" s="23"/>
      <c r="D290" s="274"/>
      <c r="E290" s="344"/>
      <c r="F290" s="363">
        <f t="shared" si="64"/>
        <v>0</v>
      </c>
      <c r="G290" s="244"/>
      <c r="H290" s="244" t="str">
        <f>IF(A290="","",VLOOKUP(A290,'6.A'!$A$11:$E$8163,5,FALSE))</f>
        <v/>
      </c>
      <c r="I290" s="244" t="str">
        <f t="shared" si="65"/>
        <v/>
      </c>
      <c r="J290" s="244" t="str">
        <f>IF(H290="","",VLOOKUP(A290,'6.A'!$A$11:$E$743,4,FALSE))</f>
        <v/>
      </c>
      <c r="K290" s="244" t="str">
        <f t="shared" si="66"/>
        <v/>
      </c>
      <c r="L290" s="244" t="str">
        <f>IF(H290="","",IF(C290="","",G272*C290))</f>
        <v/>
      </c>
      <c r="M290" s="328" t="str">
        <f>IF(A290="","",VLOOKUP(A290,'6.A'!$A$11:$C$743,2,FALSE))</f>
        <v/>
      </c>
      <c r="N290" s="274" t="str">
        <f t="shared" si="67"/>
        <v/>
      </c>
      <c r="O290" s="273"/>
      <c r="P290" s="273"/>
      <c r="Q290" s="243"/>
      <c r="R290" s="243"/>
    </row>
    <row r="291" spans="1:18" ht="12.75" customHeight="1" x14ac:dyDescent="0.2">
      <c r="A291" s="342"/>
      <c r="B291" s="343"/>
      <c r="C291" s="23"/>
      <c r="D291" s="274"/>
      <c r="E291" s="344"/>
      <c r="F291" s="363">
        <f t="shared" si="64"/>
        <v>0</v>
      </c>
      <c r="G291" s="244"/>
      <c r="H291" s="244" t="str">
        <f>IF(A291="","",VLOOKUP(A291,'6.A'!$A$11:$E$8163,5,FALSE))</f>
        <v/>
      </c>
      <c r="I291" s="244" t="str">
        <f t="shared" si="65"/>
        <v/>
      </c>
      <c r="J291" s="244" t="str">
        <f>IF(H291="","",VLOOKUP(A291,'6.A'!$A$11:$E$743,4,FALSE))</f>
        <v/>
      </c>
      <c r="K291" s="244" t="str">
        <f t="shared" si="66"/>
        <v/>
      </c>
      <c r="L291" s="244" t="str">
        <f>IF(H291="","",IF(C291="","",G272*C291))</f>
        <v/>
      </c>
      <c r="M291" s="328" t="str">
        <f>IF(A291="","",VLOOKUP(A291,'6.A'!$A$11:$C$743,2,FALSE))</f>
        <v/>
      </c>
      <c r="N291" s="274" t="str">
        <f t="shared" si="67"/>
        <v/>
      </c>
      <c r="O291" s="273"/>
      <c r="P291" s="273"/>
      <c r="Q291" s="243"/>
      <c r="R291" s="243"/>
    </row>
    <row r="292" spans="1:18" ht="12.75" customHeight="1" x14ac:dyDescent="0.2">
      <c r="A292" s="342"/>
      <c r="B292" s="343"/>
      <c r="C292" s="23"/>
      <c r="D292" s="274"/>
      <c r="E292" s="344"/>
      <c r="F292" s="363">
        <f t="shared" si="64"/>
        <v>0</v>
      </c>
      <c r="G292" s="244"/>
      <c r="H292" s="244" t="str">
        <f>IF(A292="","",VLOOKUP(A292,'6.A'!$A$11:$E$8163,5,FALSE))</f>
        <v/>
      </c>
      <c r="I292" s="244" t="str">
        <f t="shared" si="65"/>
        <v/>
      </c>
      <c r="J292" s="244" t="str">
        <f>IF(H292="","",VLOOKUP(A292,'6.A'!$A$11:$E$743,4,FALSE))</f>
        <v/>
      </c>
      <c r="K292" s="244" t="str">
        <f t="shared" si="66"/>
        <v/>
      </c>
      <c r="L292" s="244" t="str">
        <f>IF(H292="","",IF(C292="","",G272*C292))</f>
        <v/>
      </c>
      <c r="M292" s="328" t="str">
        <f>IF(A292="","",VLOOKUP(A292,'6.A'!$A$11:$C$743,2,FALSE))</f>
        <v/>
      </c>
      <c r="N292" s="274" t="str">
        <f t="shared" si="67"/>
        <v/>
      </c>
      <c r="O292" s="273"/>
      <c r="P292" s="273"/>
      <c r="Q292" s="243"/>
      <c r="R292" s="243"/>
    </row>
    <row r="293" spans="1:18" ht="12.75" customHeight="1" x14ac:dyDescent="0.2">
      <c r="A293" s="342"/>
      <c r="B293" s="343"/>
      <c r="C293" s="23"/>
      <c r="D293" s="274"/>
      <c r="E293" s="344"/>
      <c r="F293" s="363">
        <f t="shared" si="64"/>
        <v>0</v>
      </c>
      <c r="G293" s="244"/>
      <c r="H293" s="244" t="str">
        <f>IF(A293="","",VLOOKUP(A293,'6.A'!$A$11:$E$8163,5,FALSE))</f>
        <v/>
      </c>
      <c r="I293" s="244" t="str">
        <f t="shared" si="65"/>
        <v/>
      </c>
      <c r="J293" s="244" t="str">
        <f>IF(H293="","",VLOOKUP(A293,'6.A'!$A$11:$E$743,4,FALSE))</f>
        <v/>
      </c>
      <c r="K293" s="244" t="str">
        <f t="shared" si="66"/>
        <v/>
      </c>
      <c r="L293" s="244" t="str">
        <f>IF(H293="","",IF(C293="","",G272*C293))</f>
        <v/>
      </c>
      <c r="M293" s="328" t="str">
        <f>IF(A293="","",VLOOKUP(A293,'6.A'!$A$11:$C$743,2,FALSE))</f>
        <v/>
      </c>
      <c r="N293" s="274" t="str">
        <f t="shared" si="67"/>
        <v/>
      </c>
      <c r="O293" s="273"/>
      <c r="P293" s="273"/>
      <c r="Q293" s="243"/>
      <c r="R293" s="243"/>
    </row>
    <row r="294" spans="1:18" ht="12.75" customHeight="1" x14ac:dyDescent="0.2">
      <c r="A294" s="342"/>
      <c r="B294" s="343"/>
      <c r="C294" s="23"/>
      <c r="D294" s="274"/>
      <c r="E294" s="344"/>
      <c r="F294" s="363">
        <f t="shared" si="64"/>
        <v>0</v>
      </c>
      <c r="G294" s="244"/>
      <c r="H294" s="244" t="str">
        <f>IF(A294="","",VLOOKUP(A294,'6.A'!$A$11:$E$8163,5,FALSE))</f>
        <v/>
      </c>
      <c r="I294" s="244" t="str">
        <f t="shared" si="65"/>
        <v/>
      </c>
      <c r="J294" s="244" t="str">
        <f>IF(H294="","",VLOOKUP(A294,'6.A'!$A$11:$E$743,4,FALSE))</f>
        <v/>
      </c>
      <c r="K294" s="244" t="str">
        <f t="shared" si="66"/>
        <v/>
      </c>
      <c r="L294" s="244" t="str">
        <f>IF(H294="","",IF(C294="","",G272*C294))</f>
        <v/>
      </c>
      <c r="M294" s="328" t="str">
        <f>IF(A294="","",VLOOKUP(A294,'6.A'!$A$11:$C$743,2,FALSE))</f>
        <v/>
      </c>
      <c r="N294" s="274" t="str">
        <f t="shared" si="67"/>
        <v/>
      </c>
      <c r="O294" s="273"/>
      <c r="P294" s="273"/>
      <c r="Q294" s="243"/>
      <c r="R294" s="243"/>
    </row>
    <row r="295" spans="1:18" ht="12.75" customHeight="1" x14ac:dyDescent="0.2">
      <c r="A295" s="342"/>
      <c r="B295" s="343"/>
      <c r="C295" s="23"/>
      <c r="D295" s="274"/>
      <c r="E295" s="344"/>
      <c r="F295" s="363">
        <f t="shared" si="64"/>
        <v>0</v>
      </c>
      <c r="G295" s="244"/>
      <c r="H295" s="244" t="str">
        <f>IF(A295="","",VLOOKUP(A295,'6.A'!$A$11:$E$8163,5,FALSE))</f>
        <v/>
      </c>
      <c r="I295" s="244" t="str">
        <f t="shared" si="65"/>
        <v/>
      </c>
      <c r="J295" s="244" t="str">
        <f>IF(H295="","",VLOOKUP(A295,'6.A'!$A$11:$E$743,4,FALSE))</f>
        <v/>
      </c>
      <c r="K295" s="244" t="str">
        <f t="shared" si="66"/>
        <v/>
      </c>
      <c r="L295" s="244" t="str">
        <f>IF(H295="","",IF(C295="","",G272*C295))</f>
        <v/>
      </c>
      <c r="M295" s="328" t="str">
        <f>IF(A295="","",VLOOKUP(A295,'6.A'!$A$11:$C$743,2,FALSE))</f>
        <v/>
      </c>
      <c r="N295" s="274" t="str">
        <f t="shared" si="67"/>
        <v/>
      </c>
      <c r="O295" s="273"/>
      <c r="P295" s="273"/>
      <c r="Q295" s="243"/>
      <c r="R295" s="243"/>
    </row>
    <row r="296" spans="1:18" ht="12.75" customHeight="1" x14ac:dyDescent="0.2">
      <c r="A296" s="342"/>
      <c r="B296" s="343"/>
      <c r="C296" s="23"/>
      <c r="D296" s="274"/>
      <c r="E296" s="344"/>
      <c r="F296" s="363">
        <f t="shared" si="64"/>
        <v>0</v>
      </c>
      <c r="G296" s="244"/>
      <c r="H296" s="244" t="str">
        <f>IF(A296="","",VLOOKUP(A296,'6.A'!$A$11:$E$8163,5,FALSE))</f>
        <v/>
      </c>
      <c r="I296" s="244" t="str">
        <f t="shared" si="65"/>
        <v/>
      </c>
      <c r="J296" s="244" t="str">
        <f>IF(H296="","",VLOOKUP(A296,'6.A'!$A$11:$E$743,4,FALSE))</f>
        <v/>
      </c>
      <c r="K296" s="244" t="str">
        <f t="shared" si="66"/>
        <v/>
      </c>
      <c r="L296" s="244" t="str">
        <f>IF(H296="","",IF(C296="","",G272*C296))</f>
        <v/>
      </c>
      <c r="M296" s="328" t="str">
        <f>IF(A296="","",VLOOKUP(A296,'6.A'!$A$11:$C$743,2,FALSE))</f>
        <v/>
      </c>
      <c r="N296" s="274" t="str">
        <f t="shared" si="67"/>
        <v/>
      </c>
      <c r="O296" s="273"/>
      <c r="P296" s="273"/>
      <c r="Q296" s="243"/>
      <c r="R296" s="243"/>
    </row>
    <row r="297" spans="1:18" ht="12.75" customHeight="1" x14ac:dyDescent="0.2">
      <c r="A297" s="342"/>
      <c r="B297" s="343"/>
      <c r="C297" s="23"/>
      <c r="D297" s="274"/>
      <c r="E297" s="344"/>
      <c r="F297" s="363">
        <f t="shared" si="64"/>
        <v>0</v>
      </c>
      <c r="G297" s="244"/>
      <c r="H297" s="244" t="str">
        <f>IF(A297="","",VLOOKUP(A297,'6.A'!$A$11:$E$8163,5,FALSE))</f>
        <v/>
      </c>
      <c r="I297" s="244" t="str">
        <f t="shared" si="65"/>
        <v/>
      </c>
      <c r="J297" s="244" t="str">
        <f>IF(H297="","",VLOOKUP(A297,'6.A'!$A$11:$E$743,4,FALSE))</f>
        <v/>
      </c>
      <c r="K297" s="244" t="str">
        <f t="shared" si="66"/>
        <v/>
      </c>
      <c r="L297" s="244" t="str">
        <f>IF(H297="","",IF(C297="","",G272*C297))</f>
        <v/>
      </c>
      <c r="M297" s="328" t="str">
        <f>IF(A297="","",VLOOKUP(A297,'6.A'!$A$11:$C$743,2,FALSE))</f>
        <v/>
      </c>
      <c r="N297" s="274" t="str">
        <f t="shared" si="67"/>
        <v/>
      </c>
      <c r="O297" s="273"/>
      <c r="P297" s="273"/>
      <c r="Q297" s="243"/>
      <c r="R297" s="243"/>
    </row>
    <row r="298" spans="1:18" ht="12.75" customHeight="1" x14ac:dyDescent="0.2">
      <c r="A298" s="342"/>
      <c r="B298" s="331" t="str">
        <f>$A$9</f>
        <v>BDI - M.O / SERV. / MAT. COMUNS</v>
      </c>
      <c r="C298" s="3">
        <f>$C$9</f>
        <v>0</v>
      </c>
      <c r="D298" s="274"/>
      <c r="F298" s="367">
        <f>ROUND(SUM(F288:F297)*C298,2)</f>
        <v>0</v>
      </c>
      <c r="G298" s="333"/>
      <c r="M298" s="334"/>
      <c r="N298" s="274"/>
      <c r="O298" s="273"/>
      <c r="P298" s="273"/>
      <c r="Q298" s="243"/>
      <c r="R298" s="243"/>
    </row>
    <row r="299" spans="1:18" ht="12.75" customHeight="1" x14ac:dyDescent="0.2">
      <c r="A299" s="369"/>
      <c r="B299" s="345" t="s">
        <v>108</v>
      </c>
      <c r="C299" s="346"/>
      <c r="D299" s="374"/>
      <c r="E299" s="375"/>
      <c r="F299" s="373">
        <f>ROUND(SUM(F288:F298),2)</f>
        <v>0</v>
      </c>
      <c r="G299" s="333"/>
      <c r="M299" s="334"/>
      <c r="N299" s="274"/>
      <c r="O299" s="273"/>
      <c r="P299" s="273"/>
      <c r="Q299" s="243"/>
      <c r="R299" s="243"/>
    </row>
    <row r="300" spans="1:18" ht="12.75" customHeight="1" x14ac:dyDescent="0.2">
      <c r="A300" s="360" t="s">
        <v>6</v>
      </c>
      <c r="B300" s="361" t="s">
        <v>20</v>
      </c>
      <c r="C300" s="273" t="s">
        <v>55</v>
      </c>
      <c r="D300" s="273" t="s">
        <v>19</v>
      </c>
      <c r="E300" s="362" t="s">
        <v>56</v>
      </c>
      <c r="F300" s="288" t="s">
        <v>57</v>
      </c>
      <c r="G300" s="322"/>
      <c r="M300" s="334"/>
      <c r="N300" s="274"/>
      <c r="O300" s="273"/>
      <c r="P300" s="273"/>
      <c r="Q300" s="243"/>
      <c r="R300" s="243"/>
    </row>
    <row r="301" spans="1:18" ht="12.75" customHeight="1" x14ac:dyDescent="0.2">
      <c r="A301" s="342"/>
      <c r="B301" s="343"/>
      <c r="C301" s="23"/>
      <c r="D301" s="274"/>
      <c r="E301" s="344"/>
      <c r="F301" s="363">
        <f>ROUND(C301*E301,2)</f>
        <v>0</v>
      </c>
      <c r="G301" s="244"/>
      <c r="H301" s="244" t="str">
        <f>IF(A301="","",VLOOKUP(A301,'6.A'!$A$11:$E$8163,5,FALSE))</f>
        <v/>
      </c>
      <c r="I301" s="244" t="str">
        <f t="shared" ref="I301:I320" si="68">IF(H301="","",IF(E301=H301,"SIM","NÃO"))</f>
        <v/>
      </c>
      <c r="J301" s="244" t="str">
        <f>IF(H301="","",VLOOKUP(A301,'6.A'!$A$11:$E$743,4,FALSE))</f>
        <v/>
      </c>
      <c r="K301" s="244" t="str">
        <f t="shared" ref="K301:K320" si="69">IF(H301="","",IF(J301=D301,"SIM","NÃO"))</f>
        <v/>
      </c>
      <c r="L301" s="244" t="str">
        <f>IF(H301="","",IF(C301="","",G272*C301))</f>
        <v/>
      </c>
      <c r="M301" s="328" t="str">
        <f>IF(A301="","",VLOOKUP(A301,'6.A'!$A$11:$C$743,2,FALSE))</f>
        <v/>
      </c>
      <c r="N301" s="274" t="str">
        <f t="shared" ref="N301:N320" si="70">IF(A301="","",IF(M301=B301,"si","no"))</f>
        <v/>
      </c>
      <c r="O301" s="273"/>
      <c r="P301" s="273"/>
      <c r="Q301" s="243"/>
      <c r="R301" s="243"/>
    </row>
    <row r="302" spans="1:18" ht="12.75" customHeight="1" x14ac:dyDescent="0.2">
      <c r="A302" s="342"/>
      <c r="B302" s="343"/>
      <c r="C302" s="23"/>
      <c r="D302" s="274"/>
      <c r="E302" s="344"/>
      <c r="F302" s="363">
        <f>ROUND(C302*E302,2)</f>
        <v>0</v>
      </c>
      <c r="G302" s="244"/>
      <c r="H302" s="244" t="str">
        <f>IF(A302="","",VLOOKUP(A302,'6.A'!$A$11:$E$8163,5,FALSE))</f>
        <v/>
      </c>
      <c r="I302" s="244" t="str">
        <f t="shared" si="68"/>
        <v/>
      </c>
      <c r="J302" s="244" t="str">
        <f>IF(H302="","",VLOOKUP(A302,'6.A'!$A$11:$E$743,4,FALSE))</f>
        <v/>
      </c>
      <c r="K302" s="244" t="str">
        <f t="shared" si="69"/>
        <v/>
      </c>
      <c r="L302" s="244" t="str">
        <f>IF(H302="","",IF(C302="","",G272*C302))</f>
        <v/>
      </c>
      <c r="M302" s="328" t="str">
        <f>IF(A302="","",VLOOKUP(A302,'6.A'!$A$11:$C$743,2,FALSE))</f>
        <v/>
      </c>
      <c r="N302" s="274" t="str">
        <f t="shared" si="70"/>
        <v/>
      </c>
      <c r="O302" s="273"/>
      <c r="P302" s="273"/>
      <c r="Q302" s="243"/>
      <c r="R302" s="243"/>
    </row>
    <row r="303" spans="1:18" ht="12.75" customHeight="1" x14ac:dyDescent="0.2">
      <c r="A303" s="342"/>
      <c r="B303" s="343"/>
      <c r="C303" s="23"/>
      <c r="D303" s="274"/>
      <c r="E303" s="344"/>
      <c r="F303" s="363">
        <f>ROUND(C303*E303,2)</f>
        <v>0</v>
      </c>
      <c r="G303" s="244"/>
      <c r="H303" s="244" t="str">
        <f>IF(A303="","",VLOOKUP(A303,'6.A'!$A$11:$E$8163,5,FALSE))</f>
        <v/>
      </c>
      <c r="I303" s="244" t="str">
        <f t="shared" si="68"/>
        <v/>
      </c>
      <c r="J303" s="244" t="str">
        <f>IF(H303="","",VLOOKUP(A303,'6.A'!$A$11:$E$743,4,FALSE))</f>
        <v/>
      </c>
      <c r="K303" s="244" t="str">
        <f t="shared" si="69"/>
        <v/>
      </c>
      <c r="L303" s="244" t="str">
        <f>IF(H303="","",IF(C303="","",G272*C303))</f>
        <v/>
      </c>
      <c r="M303" s="328" t="str">
        <f>IF(A303="","",VLOOKUP(A303,'6.A'!$A$11:$C$743,2,FALSE))</f>
        <v/>
      </c>
      <c r="N303" s="274" t="str">
        <f t="shared" si="70"/>
        <v/>
      </c>
      <c r="O303" s="273"/>
      <c r="P303" s="273"/>
      <c r="Q303" s="243"/>
      <c r="R303" s="243"/>
    </row>
    <row r="304" spans="1:18" ht="12.75" customHeight="1" x14ac:dyDescent="0.2">
      <c r="A304" s="342"/>
      <c r="B304" s="343"/>
      <c r="C304" s="23"/>
      <c r="D304" s="274"/>
      <c r="E304" s="344"/>
      <c r="F304" s="363">
        <f>ROUND(C304*E304,2)</f>
        <v>0</v>
      </c>
      <c r="G304" s="244"/>
      <c r="H304" s="244" t="str">
        <f>IF(A304="","",VLOOKUP(A304,'6.A'!$A$11:$E$8163,5,FALSE))</f>
        <v/>
      </c>
      <c r="I304" s="244" t="str">
        <f t="shared" si="68"/>
        <v/>
      </c>
      <c r="J304" s="244" t="str">
        <f>IF(H304="","",VLOOKUP(A304,'6.A'!$A$11:$E$743,4,FALSE))</f>
        <v/>
      </c>
      <c r="K304" s="244" t="str">
        <f t="shared" si="69"/>
        <v/>
      </c>
      <c r="L304" s="244" t="str">
        <f>IF(H304="","",IF(C304="","",G272*C304))</f>
        <v/>
      </c>
      <c r="M304" s="328" t="str">
        <f>IF(A304="","",VLOOKUP(A304,'6.A'!$A$11:$C$743,2,FALSE))</f>
        <v/>
      </c>
      <c r="N304" s="274" t="str">
        <f t="shared" si="70"/>
        <v/>
      </c>
      <c r="O304" s="273"/>
      <c r="P304" s="273"/>
      <c r="Q304" s="243"/>
      <c r="R304" s="243"/>
    </row>
    <row r="305" spans="1:18" ht="12.75" customHeight="1" x14ac:dyDescent="0.2">
      <c r="A305" s="342"/>
      <c r="B305" s="343"/>
      <c r="C305" s="23"/>
      <c r="D305" s="274"/>
      <c r="E305" s="344"/>
      <c r="F305" s="363">
        <f>ROUND(C305*E305,2)</f>
        <v>0</v>
      </c>
      <c r="G305" s="244"/>
      <c r="H305" s="244" t="str">
        <f>IF(A305="","",VLOOKUP(A305,'6.A'!$A$11:$E$8163,5,FALSE))</f>
        <v/>
      </c>
      <c r="I305" s="244" t="str">
        <f t="shared" si="68"/>
        <v/>
      </c>
      <c r="J305" s="244" t="str">
        <f>IF(H305="","",VLOOKUP(A305,'6.A'!$A$11:$E$743,4,FALSE))</f>
        <v/>
      </c>
      <c r="K305" s="244" t="str">
        <f t="shared" si="69"/>
        <v/>
      </c>
      <c r="L305" s="244" t="str">
        <f>IF(H305="","",IF(C305="","",G272*C305))</f>
        <v/>
      </c>
      <c r="M305" s="328" t="str">
        <f>IF(A305="","",VLOOKUP(A305,'6.A'!$A$11:$C$743,2,FALSE))</f>
        <v/>
      </c>
      <c r="N305" s="274" t="str">
        <f t="shared" si="70"/>
        <v/>
      </c>
      <c r="O305" s="273"/>
      <c r="P305" s="273"/>
      <c r="Q305" s="243"/>
      <c r="R305" s="243"/>
    </row>
    <row r="306" spans="1:18" ht="12.75" customHeight="1" x14ac:dyDescent="0.2">
      <c r="A306" s="342"/>
      <c r="B306" s="343"/>
      <c r="C306" s="23"/>
      <c r="D306" s="274"/>
      <c r="E306" s="344"/>
      <c r="F306" s="363">
        <f t="shared" ref="F306:F320" si="71">ROUND(C306*E306,2)</f>
        <v>0</v>
      </c>
      <c r="G306" s="244"/>
      <c r="H306" s="244" t="str">
        <f>IF(A306="","",VLOOKUP(A306,'6.A'!$A$11:$E$8163,5,FALSE))</f>
        <v/>
      </c>
      <c r="I306" s="244" t="str">
        <f t="shared" si="68"/>
        <v/>
      </c>
      <c r="J306" s="244" t="str">
        <f>IF(H306="","",VLOOKUP(A306,'6.A'!$A$11:$E$743,4,FALSE))</f>
        <v/>
      </c>
      <c r="K306" s="244" t="str">
        <f t="shared" si="69"/>
        <v/>
      </c>
      <c r="L306" s="244" t="str">
        <f>IF(H306="","",IF(C306="","",G272*C306))</f>
        <v/>
      </c>
      <c r="M306" s="328" t="str">
        <f>IF(A306="","",VLOOKUP(A306,'6.A'!$A$11:$C$743,2,FALSE))</f>
        <v/>
      </c>
      <c r="N306" s="274" t="str">
        <f t="shared" si="70"/>
        <v/>
      </c>
      <c r="O306" s="273"/>
      <c r="P306" s="273"/>
      <c r="Q306" s="243"/>
      <c r="R306" s="243"/>
    </row>
    <row r="307" spans="1:18" ht="12.75" customHeight="1" x14ac:dyDescent="0.2">
      <c r="A307" s="342"/>
      <c r="B307" s="343"/>
      <c r="C307" s="23"/>
      <c r="D307" s="274"/>
      <c r="E307" s="344"/>
      <c r="F307" s="363">
        <f t="shared" si="71"/>
        <v>0</v>
      </c>
      <c r="G307" s="244"/>
      <c r="H307" s="244" t="str">
        <f>IF(A307="","",VLOOKUP(A307,'6.A'!$A$11:$E$8163,5,FALSE))</f>
        <v/>
      </c>
      <c r="I307" s="244" t="str">
        <f t="shared" si="68"/>
        <v/>
      </c>
      <c r="J307" s="244" t="str">
        <f>IF(H307="","",VLOOKUP(A307,'6.A'!$A$11:$E$743,4,FALSE))</f>
        <v/>
      </c>
      <c r="K307" s="244" t="str">
        <f t="shared" si="69"/>
        <v/>
      </c>
      <c r="L307" s="244" t="str">
        <f>IF(H307="","",IF(C307="","",G272*C307))</f>
        <v/>
      </c>
      <c r="M307" s="328" t="str">
        <f>IF(A307="","",VLOOKUP(A307,'6.A'!$A$11:$C$743,2,FALSE))</f>
        <v/>
      </c>
      <c r="N307" s="274" t="str">
        <f t="shared" si="70"/>
        <v/>
      </c>
      <c r="O307" s="273"/>
      <c r="P307" s="273"/>
      <c r="Q307" s="243"/>
      <c r="R307" s="243"/>
    </row>
    <row r="308" spans="1:18" ht="12.75" customHeight="1" x14ac:dyDescent="0.2">
      <c r="A308" s="342"/>
      <c r="B308" s="343"/>
      <c r="C308" s="23"/>
      <c r="D308" s="274"/>
      <c r="E308" s="344"/>
      <c r="F308" s="363">
        <f>ROUND(C308*E308,2)</f>
        <v>0</v>
      </c>
      <c r="G308" s="244"/>
      <c r="H308" s="244" t="str">
        <f>IF(A308="","",VLOOKUP(A308,'6.A'!$A$11:$E$8163,5,FALSE))</f>
        <v/>
      </c>
      <c r="I308" s="244" t="str">
        <f t="shared" si="68"/>
        <v/>
      </c>
      <c r="J308" s="244" t="str">
        <f>IF(H308="","",VLOOKUP(A308,'6.A'!$A$11:$E$743,4,FALSE))</f>
        <v/>
      </c>
      <c r="K308" s="244" t="str">
        <f t="shared" si="69"/>
        <v/>
      </c>
      <c r="L308" s="244" t="str">
        <f>IF(H308="","",IF(C308="","",G272*C308))</f>
        <v/>
      </c>
      <c r="M308" s="328" t="str">
        <f>IF(A308="","",VLOOKUP(A308,'6.A'!$A$11:$C$743,2,FALSE))</f>
        <v/>
      </c>
      <c r="N308" s="274" t="str">
        <f t="shared" si="70"/>
        <v/>
      </c>
      <c r="O308" s="273"/>
      <c r="P308" s="273"/>
      <c r="Q308" s="243"/>
      <c r="R308" s="243"/>
    </row>
    <row r="309" spans="1:18" ht="12.75" customHeight="1" x14ac:dyDescent="0.2">
      <c r="A309" s="342"/>
      <c r="B309" s="343"/>
      <c r="C309" s="23"/>
      <c r="D309" s="274"/>
      <c r="E309" s="344"/>
      <c r="F309" s="363">
        <f t="shared" si="71"/>
        <v>0</v>
      </c>
      <c r="G309" s="244"/>
      <c r="H309" s="244" t="str">
        <f>IF(A309="","",VLOOKUP(A309,'6.A'!$A$11:$E$8163,5,FALSE))</f>
        <v/>
      </c>
      <c r="I309" s="244" t="str">
        <f t="shared" si="68"/>
        <v/>
      </c>
      <c r="J309" s="244" t="str">
        <f>IF(H309="","",VLOOKUP(A309,'6.A'!$A$11:$E$743,4,FALSE))</f>
        <v/>
      </c>
      <c r="K309" s="244" t="str">
        <f t="shared" si="69"/>
        <v/>
      </c>
      <c r="L309" s="244" t="str">
        <f>IF(H309="","",IF(C309="","",G272*C309))</f>
        <v/>
      </c>
      <c r="M309" s="328" t="str">
        <f>IF(A309="","",VLOOKUP(A309,'6.A'!$A$11:$C$743,2,FALSE))</f>
        <v/>
      </c>
      <c r="N309" s="274" t="str">
        <f t="shared" si="70"/>
        <v/>
      </c>
      <c r="O309" s="273"/>
      <c r="P309" s="273"/>
      <c r="Q309" s="243"/>
      <c r="R309" s="243"/>
    </row>
    <row r="310" spans="1:18" ht="12.75" customHeight="1" x14ac:dyDescent="0.2">
      <c r="A310" s="342"/>
      <c r="B310" s="376"/>
      <c r="C310" s="23"/>
      <c r="D310" s="274"/>
      <c r="E310" s="344"/>
      <c r="F310" s="363">
        <f t="shared" si="71"/>
        <v>0</v>
      </c>
      <c r="G310" s="244"/>
      <c r="H310" s="244" t="str">
        <f>IF(A310="","",VLOOKUP(A310,'6.A'!$A$11:$E$8163,5,FALSE))</f>
        <v/>
      </c>
      <c r="I310" s="244" t="str">
        <f t="shared" si="68"/>
        <v/>
      </c>
      <c r="J310" s="244" t="str">
        <f>IF(H310="","",VLOOKUP(A310,'6.A'!$A$11:$E$743,4,FALSE))</f>
        <v/>
      </c>
      <c r="K310" s="244" t="str">
        <f t="shared" si="69"/>
        <v/>
      </c>
      <c r="L310" s="244" t="str">
        <f>IF(H310="","",IF(C310="","",G272*C310))</f>
        <v/>
      </c>
      <c r="M310" s="328" t="str">
        <f>IF(A310="","",VLOOKUP(A310,'6.A'!$A$11:$C$743,2,FALSE))</f>
        <v/>
      </c>
      <c r="N310" s="274" t="str">
        <f t="shared" si="70"/>
        <v/>
      </c>
      <c r="O310" s="273"/>
      <c r="P310" s="273"/>
      <c r="Q310" s="243"/>
      <c r="R310" s="243"/>
    </row>
    <row r="311" spans="1:18" ht="12.75" customHeight="1" x14ac:dyDescent="0.2">
      <c r="A311" s="342"/>
      <c r="B311" s="343"/>
      <c r="C311" s="23"/>
      <c r="D311" s="274"/>
      <c r="E311" s="344"/>
      <c r="F311" s="363">
        <f>ROUND(C311*E311,2)</f>
        <v>0</v>
      </c>
      <c r="G311" s="244"/>
      <c r="H311" s="244" t="str">
        <f>IF(A311="","",VLOOKUP(A311,'6.A'!$A$11:$E$8163,5,FALSE))</f>
        <v/>
      </c>
      <c r="I311" s="244" t="str">
        <f t="shared" si="68"/>
        <v/>
      </c>
      <c r="J311" s="244" t="str">
        <f>IF(H311="","",VLOOKUP(A311,'6.A'!$A$11:$E$743,4,FALSE))</f>
        <v/>
      </c>
      <c r="K311" s="244" t="str">
        <f t="shared" si="69"/>
        <v/>
      </c>
      <c r="L311" s="244" t="str">
        <f>IF(H311="","",IF(C311="","",G272*C311))</f>
        <v/>
      </c>
      <c r="M311" s="328" t="str">
        <f>IF(A311="","",VLOOKUP(A311,'6.A'!$A$11:$C$743,2,FALSE))</f>
        <v/>
      </c>
      <c r="N311" s="274" t="str">
        <f t="shared" si="70"/>
        <v/>
      </c>
      <c r="O311" s="273"/>
      <c r="P311" s="273"/>
      <c r="Q311" s="243"/>
      <c r="R311" s="243"/>
    </row>
    <row r="312" spans="1:18" ht="12.75" customHeight="1" x14ac:dyDescent="0.2">
      <c r="A312" s="342"/>
      <c r="B312" s="343"/>
      <c r="C312" s="23"/>
      <c r="D312" s="274"/>
      <c r="E312" s="344"/>
      <c r="F312" s="363">
        <f>ROUND(C312*E312,2)</f>
        <v>0</v>
      </c>
      <c r="G312" s="244"/>
      <c r="H312" s="244" t="str">
        <f>IF(A312="","",VLOOKUP(A312,'6.A'!$A$11:$E$8163,5,FALSE))</f>
        <v/>
      </c>
      <c r="I312" s="244" t="str">
        <f t="shared" si="68"/>
        <v/>
      </c>
      <c r="J312" s="244" t="str">
        <f>IF(H312="","",VLOOKUP(A312,'6.A'!$A$11:$E$743,4,FALSE))</f>
        <v/>
      </c>
      <c r="K312" s="244" t="str">
        <f t="shared" si="69"/>
        <v/>
      </c>
      <c r="L312" s="244" t="str">
        <f>IF(H312="","",IF(C312="","",G272*C312))</f>
        <v/>
      </c>
      <c r="M312" s="328" t="str">
        <f>IF(A312="","",VLOOKUP(A312,'6.A'!$A$11:$C$743,2,FALSE))</f>
        <v/>
      </c>
      <c r="N312" s="274" t="str">
        <f t="shared" si="70"/>
        <v/>
      </c>
      <c r="O312" s="273"/>
      <c r="P312" s="273"/>
      <c r="Q312" s="243"/>
      <c r="R312" s="243"/>
    </row>
    <row r="313" spans="1:18" ht="12.75" customHeight="1" x14ac:dyDescent="0.2">
      <c r="A313" s="342"/>
      <c r="B313" s="343"/>
      <c r="C313" s="23"/>
      <c r="D313" s="274"/>
      <c r="E313" s="344"/>
      <c r="F313" s="363">
        <f>ROUND(C313*E313,2)</f>
        <v>0</v>
      </c>
      <c r="G313" s="244"/>
      <c r="H313" s="244" t="str">
        <f>IF(A313="","",VLOOKUP(A313,'6.A'!$A$11:$E$8163,5,FALSE))</f>
        <v/>
      </c>
      <c r="I313" s="244" t="str">
        <f t="shared" si="68"/>
        <v/>
      </c>
      <c r="J313" s="244" t="str">
        <f>IF(H313="","",VLOOKUP(A313,'6.A'!$A$11:$E$743,4,FALSE))</f>
        <v/>
      </c>
      <c r="K313" s="244" t="str">
        <f t="shared" si="69"/>
        <v/>
      </c>
      <c r="L313" s="244" t="str">
        <f>IF(H313="","",IF(C313="","",G272*C313))</f>
        <v/>
      </c>
      <c r="M313" s="328" t="str">
        <f>IF(A313="","",VLOOKUP(A313,'6.A'!$A$11:$C$743,2,FALSE))</f>
        <v/>
      </c>
      <c r="N313" s="274" t="str">
        <f t="shared" si="70"/>
        <v/>
      </c>
      <c r="O313" s="273"/>
      <c r="P313" s="273"/>
      <c r="Q313" s="243"/>
      <c r="R313" s="243"/>
    </row>
    <row r="314" spans="1:18" ht="12.75" customHeight="1" x14ac:dyDescent="0.2">
      <c r="A314" s="342"/>
      <c r="B314" s="343"/>
      <c r="C314" s="23"/>
      <c r="D314" s="274"/>
      <c r="E314" s="344"/>
      <c r="F314" s="363">
        <f>ROUND(C314*E314,2)</f>
        <v>0</v>
      </c>
      <c r="G314" s="244"/>
      <c r="H314" s="244" t="str">
        <f>IF(A314="","",VLOOKUP(A314,'6.A'!$A$11:$E$8163,5,FALSE))</f>
        <v/>
      </c>
      <c r="I314" s="244" t="str">
        <f t="shared" si="68"/>
        <v/>
      </c>
      <c r="J314" s="244" t="str">
        <f>IF(H314="","",VLOOKUP(A314,'6.A'!$A$11:$E$743,4,FALSE))</f>
        <v/>
      </c>
      <c r="K314" s="244" t="str">
        <f t="shared" si="69"/>
        <v/>
      </c>
      <c r="L314" s="244" t="str">
        <f>IF(H314="","",IF(C314="","",G272*C314))</f>
        <v/>
      </c>
      <c r="M314" s="328" t="str">
        <f>IF(A314="","",VLOOKUP(A314,'6.A'!$A$11:$C$743,2,FALSE))</f>
        <v/>
      </c>
      <c r="N314" s="274" t="str">
        <f t="shared" si="70"/>
        <v/>
      </c>
      <c r="O314" s="273"/>
      <c r="P314" s="273"/>
      <c r="Q314" s="243"/>
      <c r="R314" s="243"/>
    </row>
    <row r="315" spans="1:18" ht="12.75" customHeight="1" x14ac:dyDescent="0.2">
      <c r="A315" s="342"/>
      <c r="B315" s="343"/>
      <c r="C315" s="23"/>
      <c r="D315" s="274"/>
      <c r="E315" s="344"/>
      <c r="F315" s="363">
        <f>ROUND(C315*E315,2)</f>
        <v>0</v>
      </c>
      <c r="G315" s="244"/>
      <c r="H315" s="244" t="str">
        <f>IF(A315="","",VLOOKUP(A315,'6.A'!$A$11:$E$8163,5,FALSE))</f>
        <v/>
      </c>
      <c r="I315" s="244" t="str">
        <f t="shared" si="68"/>
        <v/>
      </c>
      <c r="J315" s="244" t="str">
        <f>IF(H315="","",VLOOKUP(A315,'6.A'!$A$11:$E$743,4,FALSE))</f>
        <v/>
      </c>
      <c r="K315" s="244" t="str">
        <f t="shared" si="69"/>
        <v/>
      </c>
      <c r="L315" s="244" t="str">
        <f>IF(H315="","",IF(C315="","",G272*C315))</f>
        <v/>
      </c>
      <c r="M315" s="328" t="str">
        <f>IF(A315="","",VLOOKUP(A315,'6.A'!$A$11:$C$743,2,FALSE))</f>
        <v/>
      </c>
      <c r="N315" s="274" t="str">
        <f t="shared" si="70"/>
        <v/>
      </c>
      <c r="O315" s="273"/>
      <c r="P315" s="273"/>
      <c r="Q315" s="243"/>
      <c r="R315" s="243"/>
    </row>
    <row r="316" spans="1:18" ht="12.75" customHeight="1" x14ac:dyDescent="0.2">
      <c r="A316" s="342"/>
      <c r="B316" s="376"/>
      <c r="C316" s="23"/>
      <c r="D316" s="274"/>
      <c r="E316" s="344"/>
      <c r="F316" s="363">
        <f t="shared" si="71"/>
        <v>0</v>
      </c>
      <c r="G316" s="244"/>
      <c r="H316" s="244" t="str">
        <f>IF(A316="","",VLOOKUP(A316,'6.A'!$A$11:$E$8163,5,FALSE))</f>
        <v/>
      </c>
      <c r="I316" s="244" t="str">
        <f t="shared" si="68"/>
        <v/>
      </c>
      <c r="J316" s="244" t="str">
        <f>IF(H316="","",VLOOKUP(A316,'6.A'!$A$11:$E$743,4,FALSE))</f>
        <v/>
      </c>
      <c r="K316" s="244" t="str">
        <f t="shared" si="69"/>
        <v/>
      </c>
      <c r="L316" s="244" t="str">
        <f>IF(H316="","",IF(C316="","",G272*C316))</f>
        <v/>
      </c>
      <c r="M316" s="328" t="str">
        <f>IF(A316="","",VLOOKUP(A316,'6.A'!$A$11:$C$743,2,FALSE))</f>
        <v/>
      </c>
      <c r="N316" s="274" t="str">
        <f t="shared" si="70"/>
        <v/>
      </c>
      <c r="O316" s="273"/>
      <c r="P316" s="273"/>
      <c r="Q316" s="243"/>
      <c r="R316" s="243"/>
    </row>
    <row r="317" spans="1:18" ht="12.75" customHeight="1" x14ac:dyDescent="0.2">
      <c r="A317" s="342"/>
      <c r="B317" s="376"/>
      <c r="C317" s="23"/>
      <c r="D317" s="274"/>
      <c r="E317" s="344"/>
      <c r="F317" s="363">
        <f t="shared" si="71"/>
        <v>0</v>
      </c>
      <c r="G317" s="244"/>
      <c r="H317" s="244" t="str">
        <f>IF(A317="","",VLOOKUP(A317,'6.A'!$A$11:$E$8163,5,FALSE))</f>
        <v/>
      </c>
      <c r="I317" s="244" t="str">
        <f t="shared" si="68"/>
        <v/>
      </c>
      <c r="J317" s="244" t="str">
        <f>IF(H317="","",VLOOKUP(A317,'6.A'!$A$11:$E$743,4,FALSE))</f>
        <v/>
      </c>
      <c r="K317" s="244" t="str">
        <f t="shared" si="69"/>
        <v/>
      </c>
      <c r="L317" s="244" t="str">
        <f>IF(H317="","",IF(C317="","",G272*C317))</f>
        <v/>
      </c>
      <c r="M317" s="328" t="str">
        <f>IF(A317="","",VLOOKUP(A317,'6.A'!$A$11:$C$743,2,FALSE))</f>
        <v/>
      </c>
      <c r="N317" s="274" t="str">
        <f t="shared" si="70"/>
        <v/>
      </c>
      <c r="O317" s="273"/>
      <c r="P317" s="273"/>
      <c r="Q317" s="243"/>
      <c r="R317" s="243"/>
    </row>
    <row r="318" spans="1:18" ht="12.75" customHeight="1" x14ac:dyDescent="0.2">
      <c r="A318" s="342"/>
      <c r="B318" s="376"/>
      <c r="C318" s="23"/>
      <c r="D318" s="274"/>
      <c r="E318" s="344"/>
      <c r="F318" s="363">
        <f t="shared" si="71"/>
        <v>0</v>
      </c>
      <c r="G318" s="244"/>
      <c r="H318" s="244" t="str">
        <f>IF(A318="","",VLOOKUP(A318,'6.A'!$A$11:$E$8163,5,FALSE))</f>
        <v/>
      </c>
      <c r="I318" s="244" t="str">
        <f t="shared" si="68"/>
        <v/>
      </c>
      <c r="J318" s="244" t="str">
        <f>IF(H318="","",VLOOKUP(A318,'6.A'!$A$11:$E$743,4,FALSE))</f>
        <v/>
      </c>
      <c r="K318" s="244" t="str">
        <f t="shared" si="69"/>
        <v/>
      </c>
      <c r="L318" s="244" t="str">
        <f>IF(H318="","",IF(C318="","",G272*C318))</f>
        <v/>
      </c>
      <c r="M318" s="328" t="str">
        <f>IF(A318="","",VLOOKUP(A318,'6.A'!$A$11:$C$743,2,FALSE))</f>
        <v/>
      </c>
      <c r="N318" s="274" t="str">
        <f t="shared" si="70"/>
        <v/>
      </c>
      <c r="O318" s="273"/>
      <c r="P318" s="273"/>
      <c r="Q318" s="243"/>
      <c r="R318" s="243"/>
    </row>
    <row r="319" spans="1:18" ht="12.75" customHeight="1" x14ac:dyDescent="0.2">
      <c r="A319" s="342"/>
      <c r="B319" s="376"/>
      <c r="C319" s="23"/>
      <c r="D319" s="274"/>
      <c r="E319" s="344"/>
      <c r="F319" s="363">
        <f t="shared" si="71"/>
        <v>0</v>
      </c>
      <c r="G319" s="244"/>
      <c r="H319" s="244" t="str">
        <f>IF(A319="","",VLOOKUP(A319,'6.A'!$A$11:$E$8163,5,FALSE))</f>
        <v/>
      </c>
      <c r="I319" s="244" t="str">
        <f t="shared" si="68"/>
        <v/>
      </c>
      <c r="J319" s="244" t="str">
        <f>IF(H319="","",VLOOKUP(A319,'6.A'!$A$11:$E$743,4,FALSE))</f>
        <v/>
      </c>
      <c r="K319" s="244" t="str">
        <f t="shared" si="69"/>
        <v/>
      </c>
      <c r="L319" s="244" t="str">
        <f>IF(H319="","",IF(C319="","",G272*C319))</f>
        <v/>
      </c>
      <c r="M319" s="328" t="str">
        <f>IF(A319="","",VLOOKUP(A319,'6.A'!$A$11:$C$743,2,FALSE))</f>
        <v/>
      </c>
      <c r="N319" s="274" t="str">
        <f t="shared" si="70"/>
        <v/>
      </c>
      <c r="O319" s="273"/>
      <c r="P319" s="273"/>
      <c r="Q319" s="243"/>
      <c r="R319" s="243"/>
    </row>
    <row r="320" spans="1:18" ht="12.75" customHeight="1" x14ac:dyDescent="0.2">
      <c r="A320" s="342"/>
      <c r="B320" s="376"/>
      <c r="C320" s="23"/>
      <c r="D320" s="274"/>
      <c r="E320" s="344"/>
      <c r="F320" s="363">
        <f t="shared" si="71"/>
        <v>0</v>
      </c>
      <c r="G320" s="244"/>
      <c r="H320" s="244" t="str">
        <f>IF(A320="","",VLOOKUP(A320,'6.A'!$A$11:$E$8163,5,FALSE))</f>
        <v/>
      </c>
      <c r="I320" s="244" t="str">
        <f t="shared" si="68"/>
        <v/>
      </c>
      <c r="J320" s="244" t="str">
        <f>IF(H320="","",VLOOKUP(A320,'6.A'!$A$11:$E$743,4,FALSE))</f>
        <v/>
      </c>
      <c r="K320" s="244" t="str">
        <f t="shared" si="69"/>
        <v/>
      </c>
      <c r="L320" s="244" t="str">
        <f>IF(H320="","",IF(C320="","",G272*C320))</f>
        <v/>
      </c>
      <c r="M320" s="328" t="str">
        <f>IF(A320="","",VLOOKUP(A320,'6.A'!$A$11:$C$743,2,FALSE))</f>
        <v/>
      </c>
      <c r="N320" s="274" t="str">
        <f t="shared" si="70"/>
        <v/>
      </c>
      <c r="O320" s="273"/>
      <c r="P320" s="273"/>
      <c r="Q320" s="243"/>
      <c r="R320" s="243"/>
    </row>
    <row r="321" spans="1:21" ht="12.75" customHeight="1" x14ac:dyDescent="0.2">
      <c r="A321" s="342"/>
      <c r="B321" s="331" t="str">
        <f>$A$9</f>
        <v>BDI - M.O / SERV. / MAT. COMUNS</v>
      </c>
      <c r="C321" s="350">
        <f>$C$9</f>
        <v>0</v>
      </c>
      <c r="D321" s="274"/>
      <c r="F321" s="367">
        <f>ROUND(SUM(F301:F320)*C321,2)</f>
        <v>0</v>
      </c>
      <c r="G321" s="333"/>
      <c r="M321" s="274"/>
      <c r="N321" s="274"/>
      <c r="O321" s="273"/>
      <c r="P321" s="273"/>
      <c r="Q321" s="243"/>
      <c r="R321" s="243"/>
    </row>
    <row r="322" spans="1:21" ht="12.75" customHeight="1" thickBot="1" x14ac:dyDescent="0.25">
      <c r="A322" s="377"/>
      <c r="B322" s="352" t="s">
        <v>53</v>
      </c>
      <c r="C322" s="4"/>
      <c r="D322" s="378"/>
      <c r="E322" s="379"/>
      <c r="F322" s="380">
        <f>ROUND(SUM(F301:F321),2)</f>
        <v>0</v>
      </c>
      <c r="G322" s="333"/>
      <c r="M322" s="274"/>
      <c r="N322" s="274"/>
      <c r="O322" s="273"/>
      <c r="P322" s="273"/>
      <c r="Q322" s="243"/>
      <c r="R322" s="243"/>
    </row>
    <row r="323" spans="1:21" s="305" customFormat="1" ht="12" customHeight="1" x14ac:dyDescent="0.2">
      <c r="A323" s="294"/>
      <c r="B323" s="295"/>
      <c r="C323" s="296"/>
      <c r="D323" s="297"/>
      <c r="E323" s="298"/>
      <c r="F323" s="299"/>
      <c r="G323" s="299"/>
      <c r="H323" s="300"/>
      <c r="I323" s="297"/>
      <c r="J323" s="297"/>
      <c r="K323" s="297"/>
      <c r="L323" s="300"/>
      <c r="M323" s="301"/>
      <c r="N323" s="301"/>
      <c r="O323" s="302"/>
      <c r="P323" s="302"/>
      <c r="Q323" s="303"/>
      <c r="R323" s="303"/>
      <c r="S323" s="304"/>
    </row>
    <row r="324" spans="1:21" x14ac:dyDescent="0.2">
      <c r="G324" s="244">
        <f>SUM(G64:G323)</f>
        <v>1500.5</v>
      </c>
      <c r="H324" s="244">
        <f>'3.A'!K49</f>
        <v>0</v>
      </c>
      <c r="I324" s="316">
        <f>G324-H324</f>
        <v>1500.5</v>
      </c>
      <c r="K324" s="244">
        <f>'6.A'!H22</f>
        <v>2163.5</v>
      </c>
      <c r="L324" s="244">
        <f>SUM(L12:L323)</f>
        <v>2163.5</v>
      </c>
      <c r="M324" s="316">
        <f>K324-L324</f>
        <v>0</v>
      </c>
    </row>
    <row r="325" spans="1:21" x14ac:dyDescent="0.2">
      <c r="G325" s="625" t="str">
        <f>IF(G324=H324,"si","no")</f>
        <v>no</v>
      </c>
      <c r="H325" s="625"/>
      <c r="K325" s="559" t="str">
        <f>IF(K324=L324,"si","no")</f>
        <v>si</v>
      </c>
      <c r="L325" s="559"/>
    </row>
    <row r="326" spans="1:21" x14ac:dyDescent="0.2">
      <c r="U326" s="244"/>
    </row>
    <row r="328" spans="1:21" x14ac:dyDescent="0.2">
      <c r="L328" s="244" t="str">
        <f>IF(C328="","",G326*C328)</f>
        <v/>
      </c>
    </row>
    <row r="329" spans="1:21" x14ac:dyDescent="0.2">
      <c r="L329" s="244" t="str">
        <f>IF(C329="","",G326*C329)</f>
        <v/>
      </c>
    </row>
    <row r="330" spans="1:21" x14ac:dyDescent="0.2">
      <c r="L330" s="244" t="str">
        <f>IF(C330="","",G326*C330)</f>
        <v/>
      </c>
    </row>
    <row r="331" spans="1:21" x14ac:dyDescent="0.2">
      <c r="A331" s="383"/>
      <c r="K331" s="316">
        <f>K324-L324</f>
        <v>0</v>
      </c>
      <c r="L331" s="244" t="str">
        <f>IF(C331="","",G326*C331)</f>
        <v/>
      </c>
    </row>
    <row r="332" spans="1:21" x14ac:dyDescent="0.2">
      <c r="A332" s="383"/>
      <c r="K332" s="316">
        <f>K331/2</f>
        <v>0</v>
      </c>
      <c r="L332" s="244" t="str">
        <f>IF(C332="","",G326*C332)</f>
        <v/>
      </c>
    </row>
    <row r="333" spans="1:21" x14ac:dyDescent="0.2">
      <c r="A333" s="383"/>
      <c r="L333" s="244" t="str">
        <f>IF(C333="","",G326*C333)</f>
        <v/>
      </c>
    </row>
    <row r="334" spans="1:21" x14ac:dyDescent="0.2">
      <c r="A334" s="383"/>
      <c r="L334" s="244" t="str">
        <f>IF(C334="","",G326*C334)</f>
        <v/>
      </c>
    </row>
    <row r="335" spans="1:21" x14ac:dyDescent="0.2">
      <c r="A335" s="383"/>
      <c r="L335" s="244" t="str">
        <f>IF(C335="","",G326*C335)</f>
        <v/>
      </c>
    </row>
    <row r="336" spans="1:21" x14ac:dyDescent="0.2">
      <c r="A336" s="383"/>
      <c r="L336" s="244" t="str">
        <f>IF(C336="","",G326*C336)</f>
        <v/>
      </c>
    </row>
  </sheetData>
  <sheetProtection algorithmName="SHA-512" hashValue="58UhdijGssAyPE0jGssKhYVs+aTVjtTRsUUGziHQAunX3+ai1gfBNUqCbvtAYlH0W+SmxxR14q2WztymASIA5w==" saltValue="FDDr9Ikk9Szem6bxy1Z81w==" spinCount="100000" sheet="1" objects="1" scenarios="1" selectLockedCells="1"/>
  <mergeCells count="15">
    <mergeCell ref="A1:F5"/>
    <mergeCell ref="C220:D220"/>
    <mergeCell ref="C168:D168"/>
    <mergeCell ref="C12:D12"/>
    <mergeCell ref="K325:L325"/>
    <mergeCell ref="G325:H325"/>
    <mergeCell ref="A10:F10"/>
    <mergeCell ref="C272:D272"/>
    <mergeCell ref="D8:E9"/>
    <mergeCell ref="A7:F7"/>
    <mergeCell ref="F8:F9"/>
    <mergeCell ref="A8:B8"/>
    <mergeCell ref="A9:B9"/>
    <mergeCell ref="C116:D116"/>
    <mergeCell ref="C64:D64"/>
  </mergeCells>
  <printOptions horizontalCentered="1"/>
  <pageMargins left="0.59055118110236227" right="0.59055118110236227" top="0.51181102362204722" bottom="0.39370078740157483" header="0.39370078740157483" footer="0.23622047244094491"/>
  <pageSetup paperSize="9" scale="65" fitToHeight="81" orientation="landscape" horizontalDpi="4294967293" verticalDpi="4294967293" r:id="rId1"/>
  <headerFooter alignWithMargins="0">
    <oddFooter>&amp;C&amp;"Arial,Negrito itálico"Página &amp;P / &amp;N</oddFooter>
  </headerFooter>
  <rowBreaks count="6" manualBreakCount="6">
    <brk id="62" max="5" man="1"/>
    <brk id="114" max="5" man="1"/>
    <brk id="166" max="5" man="1"/>
    <brk id="218" max="5" man="1"/>
    <brk id="270" max="5" man="1"/>
    <brk id="322" min="1" max="5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Plan11"/>
  <dimension ref="A1:HS24"/>
  <sheetViews>
    <sheetView showGridLines="0" view="pageBreakPreview" zoomScale="80" zoomScaleSheetLayoutView="80" workbookViewId="0">
      <selection activeCell="E12" sqref="E12"/>
    </sheetView>
  </sheetViews>
  <sheetFormatPr defaultRowHeight="15" x14ac:dyDescent="0.2"/>
  <cols>
    <col min="1" max="1" width="13.7109375" style="422" customWidth="1"/>
    <col min="2" max="2" width="10.7109375" style="422" customWidth="1"/>
    <col min="3" max="3" width="98.7109375" style="121" customWidth="1"/>
    <col min="4" max="4" width="8" style="122" customWidth="1"/>
    <col min="5" max="5" width="17.140625" style="68" customWidth="1"/>
    <col min="6" max="6" width="13.28515625" style="69" hidden="1" customWidth="1"/>
    <col min="7" max="7" width="7.28515625" style="70" hidden="1" customWidth="1"/>
    <col min="8" max="8" width="11.7109375" style="123" hidden="1" customWidth="1"/>
    <col min="9" max="9" width="6.5703125" style="122" hidden="1" customWidth="1"/>
    <col min="10" max="10" width="14.5703125" style="405" hidden="1" customWidth="1"/>
    <col min="11" max="11" width="14.42578125" style="405" hidden="1" customWidth="1"/>
    <col min="12" max="12" width="9.140625" style="116" hidden="1" customWidth="1"/>
    <col min="13" max="13" width="12" style="116" hidden="1" customWidth="1"/>
    <col min="14" max="14" width="9.140625" style="116" hidden="1" customWidth="1"/>
    <col min="15" max="15" width="11" style="116" hidden="1" customWidth="1"/>
    <col min="16" max="16" width="12" style="116" hidden="1" customWidth="1"/>
    <col min="17" max="23" width="9.140625" style="116" customWidth="1"/>
    <col min="24" max="211" width="9.140625" style="116"/>
    <col min="212" max="212" width="11.42578125" style="116" bestFit="1" customWidth="1"/>
    <col min="213" max="16384" width="9.140625" style="116"/>
  </cols>
  <sheetData>
    <row r="1" spans="1:227" s="386" customFormat="1" ht="15" customHeight="1" x14ac:dyDescent="0.2">
      <c r="A1" s="633" t="str">
        <f>'3.A'!A1:J4</f>
        <v>TIMBRE LICITANTE</v>
      </c>
      <c r="B1" s="633"/>
      <c r="C1" s="633"/>
      <c r="D1" s="633"/>
      <c r="E1" s="633"/>
      <c r="F1" s="384"/>
      <c r="G1" s="384"/>
      <c r="H1" s="385"/>
      <c r="I1" s="385"/>
      <c r="J1" s="385"/>
    </row>
    <row r="2" spans="1:227" s="386" customFormat="1" ht="15" customHeight="1" x14ac:dyDescent="0.2">
      <c r="A2" s="633"/>
      <c r="B2" s="633"/>
      <c r="C2" s="633"/>
      <c r="D2" s="633"/>
      <c r="E2" s="633"/>
      <c r="F2" s="384"/>
      <c r="G2" s="384"/>
    </row>
    <row r="3" spans="1:227" s="386" customFormat="1" ht="3.75" customHeight="1" x14ac:dyDescent="0.2">
      <c r="A3" s="633"/>
      <c r="B3" s="633"/>
      <c r="C3" s="633"/>
      <c r="D3" s="633"/>
      <c r="E3" s="633"/>
      <c r="F3" s="387"/>
      <c r="G3" s="388"/>
      <c r="H3" s="389"/>
      <c r="I3" s="390"/>
      <c r="J3" s="147"/>
    </row>
    <row r="4" spans="1:227" s="386" customFormat="1" ht="15" customHeight="1" x14ac:dyDescent="0.2">
      <c r="A4" s="633"/>
      <c r="B4" s="633"/>
      <c r="C4" s="633"/>
      <c r="D4" s="633"/>
      <c r="E4" s="633"/>
      <c r="F4" s="391"/>
      <c r="G4" s="391"/>
      <c r="H4" s="385"/>
      <c r="I4" s="561">
        <f>'3.A'!I41</f>
        <v>0</v>
      </c>
      <c r="J4" s="561"/>
      <c r="K4" s="561"/>
    </row>
    <row r="5" spans="1:227" s="386" customFormat="1" ht="11.25" customHeight="1" x14ac:dyDescent="0.2">
      <c r="A5" s="391"/>
      <c r="B5" s="391"/>
      <c r="C5" s="391"/>
      <c r="D5" s="391"/>
      <c r="E5" s="391"/>
      <c r="F5" s="391"/>
      <c r="G5" s="391"/>
    </row>
    <row r="6" spans="1:227" ht="15.75" x14ac:dyDescent="0.2">
      <c r="A6" s="634" t="s">
        <v>156</v>
      </c>
      <c r="B6" s="634"/>
      <c r="C6" s="634"/>
      <c r="D6" s="634"/>
      <c r="E6" s="634"/>
      <c r="F6" s="634"/>
      <c r="G6" s="392"/>
      <c r="H6" s="261"/>
      <c r="I6" s="261"/>
      <c r="J6" s="393"/>
      <c r="K6" s="393"/>
      <c r="L6" s="394"/>
      <c r="M6" s="394"/>
      <c r="N6" s="394"/>
      <c r="O6" s="394"/>
      <c r="P6" s="394"/>
      <c r="Q6" s="394"/>
      <c r="R6" s="394"/>
      <c r="S6" s="394"/>
      <c r="T6" s="394"/>
      <c r="U6" s="394"/>
      <c r="V6" s="394"/>
      <c r="W6" s="394"/>
      <c r="X6" s="394"/>
      <c r="Y6" s="394"/>
      <c r="Z6" s="394"/>
      <c r="AA6" s="394"/>
      <c r="AB6" s="394"/>
      <c r="AC6" s="394"/>
      <c r="AD6" s="394"/>
      <c r="AE6" s="394"/>
      <c r="AF6" s="394"/>
      <c r="AG6" s="394"/>
      <c r="AH6" s="394"/>
      <c r="AI6" s="394"/>
      <c r="AJ6" s="394"/>
      <c r="AK6" s="394"/>
      <c r="AL6" s="394"/>
      <c r="AM6" s="394"/>
      <c r="AN6" s="394"/>
      <c r="AO6" s="394"/>
      <c r="AP6" s="394"/>
      <c r="AQ6" s="394"/>
      <c r="AR6" s="394"/>
      <c r="AS6" s="394"/>
      <c r="AT6" s="394"/>
      <c r="AU6" s="394"/>
      <c r="AV6" s="394"/>
      <c r="AW6" s="394"/>
      <c r="AX6" s="394"/>
      <c r="AY6" s="394"/>
      <c r="AZ6" s="394"/>
      <c r="BA6" s="394"/>
      <c r="BB6" s="394"/>
      <c r="BC6" s="394"/>
      <c r="BD6" s="394"/>
      <c r="BE6" s="394"/>
      <c r="BF6" s="394"/>
      <c r="BG6" s="394"/>
      <c r="BH6" s="394"/>
      <c r="BI6" s="394"/>
      <c r="BJ6" s="394"/>
      <c r="BK6" s="394"/>
      <c r="BL6" s="394"/>
      <c r="BM6" s="394"/>
      <c r="BN6" s="394"/>
      <c r="BO6" s="394"/>
      <c r="BP6" s="394"/>
      <c r="BQ6" s="394"/>
      <c r="BR6" s="394"/>
      <c r="BS6" s="394"/>
      <c r="BT6" s="394"/>
      <c r="BU6" s="394"/>
      <c r="BV6" s="394"/>
      <c r="BW6" s="394"/>
      <c r="BX6" s="394"/>
      <c r="BY6" s="394"/>
      <c r="BZ6" s="394"/>
      <c r="CA6" s="394"/>
      <c r="CB6" s="394"/>
      <c r="CC6" s="394"/>
      <c r="CD6" s="394"/>
      <c r="CE6" s="394"/>
      <c r="CF6" s="394"/>
      <c r="CG6" s="394"/>
      <c r="CH6" s="394"/>
      <c r="CI6" s="394"/>
      <c r="CJ6" s="394"/>
      <c r="CK6" s="394"/>
      <c r="CL6" s="394"/>
      <c r="CM6" s="394"/>
      <c r="CN6" s="394"/>
      <c r="CO6" s="394"/>
      <c r="CP6" s="394"/>
      <c r="CQ6" s="394"/>
      <c r="CR6" s="394"/>
      <c r="CS6" s="394"/>
      <c r="CT6" s="394"/>
      <c r="CU6" s="394"/>
      <c r="CV6" s="394"/>
      <c r="CW6" s="394"/>
      <c r="CX6" s="394"/>
      <c r="CY6" s="394"/>
      <c r="CZ6" s="394"/>
      <c r="DA6" s="394"/>
      <c r="DB6" s="394"/>
      <c r="DC6" s="394"/>
      <c r="DD6" s="394"/>
      <c r="DE6" s="394"/>
      <c r="DF6" s="394"/>
      <c r="DG6" s="394"/>
      <c r="DH6" s="394"/>
      <c r="DI6" s="394"/>
      <c r="DJ6" s="394"/>
      <c r="DK6" s="394"/>
      <c r="DL6" s="394"/>
      <c r="DM6" s="394"/>
      <c r="DN6" s="394"/>
      <c r="DO6" s="394"/>
      <c r="DP6" s="394"/>
      <c r="DQ6" s="394"/>
      <c r="DR6" s="394"/>
      <c r="DS6" s="394"/>
      <c r="DT6" s="394"/>
      <c r="DU6" s="394"/>
      <c r="DV6" s="394"/>
      <c r="DW6" s="394"/>
      <c r="DX6" s="394"/>
      <c r="DY6" s="394"/>
      <c r="DZ6" s="394"/>
      <c r="EA6" s="394"/>
      <c r="EB6" s="394"/>
      <c r="EC6" s="394"/>
      <c r="ED6" s="394"/>
      <c r="EE6" s="394"/>
      <c r="EF6" s="394"/>
      <c r="EG6" s="394"/>
      <c r="EH6" s="394"/>
      <c r="EI6" s="394"/>
      <c r="EJ6" s="394"/>
      <c r="EK6" s="394"/>
      <c r="EL6" s="394"/>
      <c r="EM6" s="394"/>
      <c r="EN6" s="394"/>
      <c r="EO6" s="394"/>
      <c r="EP6" s="394"/>
      <c r="EQ6" s="394"/>
      <c r="ER6" s="394"/>
      <c r="ES6" s="394"/>
      <c r="ET6" s="394"/>
      <c r="EU6" s="394"/>
      <c r="EV6" s="394"/>
      <c r="EW6" s="394"/>
      <c r="EX6" s="394"/>
      <c r="EY6" s="394"/>
      <c r="EZ6" s="394"/>
      <c r="FA6" s="394"/>
      <c r="FB6" s="394"/>
      <c r="FC6" s="394"/>
      <c r="FD6" s="394"/>
      <c r="FE6" s="394"/>
      <c r="FF6" s="394"/>
      <c r="FG6" s="394"/>
      <c r="FH6" s="394"/>
      <c r="FI6" s="394"/>
      <c r="FJ6" s="394"/>
      <c r="FK6" s="394"/>
      <c r="FL6" s="394"/>
      <c r="FM6" s="394"/>
      <c r="FN6" s="394"/>
      <c r="FO6" s="394"/>
      <c r="FP6" s="394"/>
      <c r="FQ6" s="394"/>
      <c r="FR6" s="394"/>
      <c r="FS6" s="394"/>
      <c r="FT6" s="394"/>
      <c r="FU6" s="394"/>
      <c r="FV6" s="394"/>
      <c r="FW6" s="394"/>
      <c r="FX6" s="394"/>
      <c r="FY6" s="394"/>
      <c r="FZ6" s="394"/>
      <c r="GA6" s="394"/>
      <c r="GB6" s="394"/>
      <c r="GC6" s="394"/>
      <c r="GD6" s="394"/>
      <c r="GE6" s="394"/>
      <c r="GF6" s="394"/>
      <c r="GG6" s="394"/>
      <c r="GH6" s="394"/>
      <c r="GI6" s="394"/>
      <c r="GJ6" s="394"/>
      <c r="GK6" s="394"/>
      <c r="GL6" s="394"/>
      <c r="GM6" s="394"/>
      <c r="GN6" s="394"/>
      <c r="GO6" s="394"/>
      <c r="GP6" s="394"/>
      <c r="GQ6" s="394"/>
      <c r="GR6" s="394"/>
      <c r="GS6" s="394"/>
      <c r="GT6" s="394"/>
      <c r="GU6" s="394"/>
      <c r="GV6" s="394"/>
      <c r="GW6" s="394"/>
      <c r="GX6" s="394"/>
      <c r="GY6" s="394"/>
      <c r="GZ6" s="394"/>
      <c r="HA6" s="394"/>
      <c r="HB6" s="394"/>
      <c r="HC6" s="394"/>
      <c r="HD6" s="394"/>
      <c r="HE6" s="394"/>
      <c r="HF6" s="394"/>
      <c r="HG6" s="394"/>
      <c r="HH6" s="394"/>
      <c r="HI6" s="394"/>
      <c r="HJ6" s="394"/>
      <c r="HK6" s="394"/>
      <c r="HL6" s="394"/>
      <c r="HM6" s="394"/>
      <c r="HN6" s="394"/>
      <c r="HO6" s="394"/>
      <c r="HP6" s="394"/>
      <c r="HQ6" s="394"/>
      <c r="HR6" s="394"/>
      <c r="HS6" s="394"/>
    </row>
    <row r="7" spans="1:227" s="386" customFormat="1" ht="6.95" customHeight="1" x14ac:dyDescent="0.2">
      <c r="A7" s="635"/>
      <c r="B7" s="635"/>
      <c r="C7" s="635"/>
      <c r="D7" s="635"/>
      <c r="E7" s="635"/>
      <c r="F7" s="635"/>
      <c r="G7" s="635"/>
      <c r="H7" s="395"/>
      <c r="I7" s="396"/>
      <c r="J7" s="123"/>
    </row>
    <row r="8" spans="1:227" s="401" customFormat="1" ht="31.5" customHeight="1" x14ac:dyDescent="0.2">
      <c r="A8" s="637" t="str">
        <f>'3.A'!$A$9</f>
        <v xml:space="preserve">OBJETO: FORNECIMENTO E INSTALAÇÃO DE GUARDA-CORPOS, ESCADAS MARINHEIROS E GRADES-PISO, EM FIBRA DE VIDRO, NAS ÁREAS DE PROCESSO DA ESTAÇÃO DE TRATAMENTO DE ÁGUA. </v>
      </c>
      <c r="B8" s="637"/>
      <c r="C8" s="637"/>
      <c r="D8" s="637"/>
      <c r="E8" s="637"/>
      <c r="F8" s="637"/>
      <c r="G8" s="397"/>
      <c r="H8" s="398"/>
      <c r="I8" s="399"/>
      <c r="J8" s="400"/>
    </row>
    <row r="9" spans="1:227" s="386" customFormat="1" ht="6" customHeight="1" x14ac:dyDescent="0.2">
      <c r="A9" s="635"/>
      <c r="B9" s="635"/>
      <c r="C9" s="635"/>
      <c r="D9" s="635"/>
      <c r="E9" s="635"/>
      <c r="F9" s="635"/>
      <c r="G9" s="635"/>
      <c r="H9" s="395"/>
      <c r="I9" s="396"/>
      <c r="J9" s="123"/>
    </row>
    <row r="10" spans="1:227" ht="6.95" customHeight="1" thickBot="1" x14ac:dyDescent="0.25">
      <c r="A10" s="636"/>
      <c r="B10" s="636"/>
      <c r="C10" s="636"/>
      <c r="D10" s="636"/>
      <c r="E10" s="636"/>
      <c r="F10" s="636"/>
      <c r="G10" s="636"/>
      <c r="J10" s="402"/>
      <c r="K10" s="402"/>
      <c r="L10" s="394"/>
      <c r="M10" s="394"/>
      <c r="N10" s="394"/>
      <c r="O10" s="394"/>
      <c r="P10" s="394"/>
      <c r="Q10" s="394"/>
      <c r="R10" s="394"/>
      <c r="S10" s="394"/>
      <c r="T10" s="394"/>
      <c r="U10" s="394"/>
      <c r="V10" s="394"/>
      <c r="W10" s="394"/>
      <c r="X10" s="394"/>
      <c r="Y10" s="394"/>
      <c r="Z10" s="394"/>
      <c r="AA10" s="394"/>
      <c r="AB10" s="394"/>
      <c r="AC10" s="394"/>
      <c r="AD10" s="394"/>
      <c r="AE10" s="394"/>
      <c r="AF10" s="394"/>
      <c r="AG10" s="394"/>
      <c r="AH10" s="394"/>
      <c r="AI10" s="394"/>
      <c r="AJ10" s="394"/>
      <c r="AK10" s="394"/>
      <c r="AL10" s="394"/>
      <c r="AM10" s="394"/>
      <c r="AN10" s="394"/>
      <c r="AO10" s="394"/>
      <c r="AP10" s="394"/>
      <c r="AQ10" s="394"/>
      <c r="AR10" s="394"/>
      <c r="AS10" s="394"/>
      <c r="AT10" s="394"/>
      <c r="AU10" s="394"/>
      <c r="AV10" s="394"/>
      <c r="AW10" s="394"/>
      <c r="AX10" s="394"/>
      <c r="AY10" s="394"/>
      <c r="AZ10" s="394"/>
      <c r="BA10" s="394"/>
      <c r="BB10" s="394"/>
      <c r="BC10" s="394"/>
      <c r="BD10" s="394"/>
      <c r="BE10" s="394"/>
      <c r="BF10" s="394"/>
      <c r="BG10" s="394"/>
      <c r="BH10" s="394"/>
      <c r="BI10" s="394"/>
      <c r="BJ10" s="394"/>
      <c r="BK10" s="394"/>
      <c r="BL10" s="394"/>
      <c r="BM10" s="394"/>
      <c r="BN10" s="394"/>
      <c r="BO10" s="394"/>
      <c r="BP10" s="394"/>
      <c r="BQ10" s="394"/>
      <c r="BR10" s="394"/>
      <c r="BS10" s="394"/>
      <c r="BT10" s="394"/>
      <c r="BU10" s="394"/>
      <c r="BV10" s="394"/>
      <c r="BW10" s="394"/>
      <c r="BX10" s="394"/>
      <c r="BY10" s="394"/>
      <c r="BZ10" s="394"/>
      <c r="CA10" s="394"/>
      <c r="CB10" s="394"/>
      <c r="CC10" s="394"/>
      <c r="CD10" s="394"/>
      <c r="CE10" s="394"/>
      <c r="CF10" s="394"/>
      <c r="CG10" s="394"/>
      <c r="CH10" s="394"/>
      <c r="CI10" s="394"/>
      <c r="CJ10" s="394"/>
      <c r="CK10" s="394"/>
      <c r="CL10" s="394"/>
      <c r="CM10" s="394"/>
      <c r="CN10" s="394"/>
      <c r="CO10" s="394"/>
      <c r="CP10" s="394"/>
      <c r="CQ10" s="394"/>
      <c r="CR10" s="394"/>
      <c r="CS10" s="394"/>
      <c r="CT10" s="394"/>
      <c r="CU10" s="394"/>
      <c r="CV10" s="394"/>
      <c r="CW10" s="394"/>
      <c r="CX10" s="394"/>
      <c r="CY10" s="394"/>
      <c r="CZ10" s="394"/>
      <c r="DA10" s="394"/>
      <c r="DB10" s="394"/>
      <c r="DC10" s="394"/>
      <c r="DD10" s="394"/>
      <c r="DE10" s="394"/>
      <c r="DF10" s="394"/>
      <c r="DG10" s="394"/>
      <c r="DH10" s="394"/>
      <c r="DI10" s="394"/>
      <c r="DJ10" s="394"/>
      <c r="DK10" s="394"/>
      <c r="DL10" s="394"/>
      <c r="DM10" s="394"/>
      <c r="DN10" s="394"/>
      <c r="DO10" s="394"/>
      <c r="DP10" s="394"/>
      <c r="DQ10" s="394"/>
      <c r="DR10" s="394"/>
      <c r="DS10" s="394"/>
      <c r="DT10" s="394"/>
      <c r="DU10" s="394"/>
      <c r="DV10" s="394"/>
      <c r="DW10" s="394"/>
      <c r="DX10" s="394"/>
      <c r="DY10" s="394"/>
      <c r="DZ10" s="394"/>
      <c r="EA10" s="394"/>
      <c r="EB10" s="394"/>
      <c r="EC10" s="394"/>
      <c r="ED10" s="394"/>
      <c r="EE10" s="394"/>
      <c r="EF10" s="394"/>
      <c r="EG10" s="394"/>
      <c r="EH10" s="394"/>
      <c r="EI10" s="394"/>
      <c r="EJ10" s="394"/>
      <c r="EK10" s="394"/>
      <c r="EL10" s="394"/>
      <c r="EM10" s="394"/>
      <c r="EN10" s="394"/>
      <c r="EO10" s="394"/>
      <c r="EP10" s="394"/>
      <c r="EQ10" s="394"/>
      <c r="ER10" s="394"/>
      <c r="ES10" s="394"/>
      <c r="ET10" s="394"/>
      <c r="EU10" s="394"/>
      <c r="EV10" s="394"/>
      <c r="EW10" s="394"/>
      <c r="EX10" s="394"/>
      <c r="EY10" s="394"/>
      <c r="EZ10" s="394"/>
      <c r="FA10" s="394"/>
      <c r="FB10" s="394"/>
      <c r="FC10" s="394"/>
      <c r="FD10" s="394"/>
      <c r="FE10" s="394"/>
      <c r="FF10" s="394"/>
      <c r="FG10" s="394"/>
      <c r="FH10" s="394"/>
      <c r="FI10" s="394"/>
      <c r="FJ10" s="394"/>
      <c r="FK10" s="394"/>
      <c r="FL10" s="394"/>
      <c r="FM10" s="394"/>
      <c r="FN10" s="394"/>
      <c r="FO10" s="394"/>
      <c r="FP10" s="394"/>
      <c r="FQ10" s="394"/>
      <c r="FR10" s="394"/>
      <c r="FS10" s="394"/>
      <c r="FT10" s="394"/>
      <c r="FU10" s="394"/>
      <c r="FV10" s="394"/>
      <c r="FW10" s="394"/>
      <c r="FX10" s="394"/>
      <c r="FY10" s="394"/>
      <c r="FZ10" s="394"/>
      <c r="GA10" s="394"/>
      <c r="GB10" s="394"/>
      <c r="GC10" s="394"/>
      <c r="GD10" s="394"/>
      <c r="GE10" s="394"/>
      <c r="GF10" s="394"/>
      <c r="GG10" s="394"/>
      <c r="GH10" s="394"/>
      <c r="GI10" s="394"/>
      <c r="GJ10" s="394"/>
      <c r="GK10" s="394"/>
      <c r="GL10" s="394"/>
      <c r="GM10" s="394"/>
      <c r="GN10" s="394"/>
      <c r="GO10" s="394"/>
      <c r="GP10" s="394"/>
      <c r="GQ10" s="394"/>
      <c r="GR10" s="394"/>
      <c r="GS10" s="394"/>
      <c r="GT10" s="394"/>
      <c r="GU10" s="394"/>
      <c r="GV10" s="394"/>
      <c r="GW10" s="394"/>
      <c r="GX10" s="394"/>
      <c r="GY10" s="394"/>
      <c r="GZ10" s="394"/>
      <c r="HA10" s="394"/>
      <c r="HB10" s="394"/>
      <c r="HC10" s="394"/>
      <c r="HD10" s="394"/>
      <c r="HE10" s="394"/>
      <c r="HF10" s="394"/>
      <c r="HG10" s="394"/>
      <c r="HH10" s="394"/>
      <c r="HI10" s="394"/>
      <c r="HJ10" s="394"/>
      <c r="HK10" s="394"/>
    </row>
    <row r="11" spans="1:227" ht="20.100000000000001" customHeight="1" thickBot="1" x14ac:dyDescent="0.25">
      <c r="A11" s="403" t="s">
        <v>2</v>
      </c>
      <c r="B11" s="643" t="s">
        <v>0</v>
      </c>
      <c r="C11" s="644"/>
      <c r="D11" s="404" t="s">
        <v>62</v>
      </c>
      <c r="E11" s="108" t="s">
        <v>1</v>
      </c>
      <c r="F11" s="107" t="s">
        <v>63</v>
      </c>
      <c r="G11" s="79" t="s">
        <v>50</v>
      </c>
      <c r="N11" s="122" t="s">
        <v>36</v>
      </c>
      <c r="O11" s="28">
        <f>'8.A'!C49</f>
        <v>0</v>
      </c>
    </row>
    <row r="12" spans="1:227" ht="18" customHeight="1" thickBot="1" x14ac:dyDescent="0.25">
      <c r="A12" s="406">
        <v>90776</v>
      </c>
      <c r="B12" s="631" t="s">
        <v>99</v>
      </c>
      <c r="C12" s="632"/>
      <c r="D12" s="407" t="s">
        <v>37</v>
      </c>
      <c r="E12" s="109"/>
      <c r="F12" s="408" t="s">
        <v>32</v>
      </c>
      <c r="G12" s="80">
        <f>$D$23</f>
        <v>45413</v>
      </c>
      <c r="H12" s="123">
        <f>SUMIF('5.A'!$B$7:$B$323,B12,'5.A'!$L$7:$L$323)</f>
        <v>660</v>
      </c>
      <c r="I12" s="122" t="str">
        <f>IF(H12=0,"no","si")</f>
        <v>si</v>
      </c>
      <c r="J12" s="409">
        <v>47.89</v>
      </c>
      <c r="K12" s="410">
        <f>ROUND(J12/(1+$O$11),2)</f>
        <v>47.89</v>
      </c>
      <c r="L12" s="394"/>
      <c r="M12" s="394"/>
      <c r="N12" s="394"/>
      <c r="O12" s="394"/>
      <c r="P12" s="394"/>
      <c r="Q12" s="394"/>
      <c r="R12" s="394"/>
      <c r="S12" s="394"/>
      <c r="T12" s="394"/>
      <c r="U12" s="394"/>
      <c r="V12" s="394"/>
      <c r="W12" s="394"/>
      <c r="X12" s="394"/>
      <c r="Y12" s="394"/>
      <c r="Z12" s="394"/>
      <c r="AA12" s="394"/>
      <c r="AB12" s="394"/>
      <c r="AC12" s="394"/>
      <c r="AD12" s="394"/>
      <c r="AE12" s="394"/>
      <c r="AF12" s="394"/>
      <c r="AG12" s="394"/>
      <c r="AH12" s="394"/>
      <c r="AI12" s="394"/>
      <c r="AJ12" s="394"/>
      <c r="AK12" s="394"/>
      <c r="AL12" s="394"/>
      <c r="AM12" s="116" t="s">
        <v>99</v>
      </c>
      <c r="AN12" s="394"/>
      <c r="AO12" s="394"/>
      <c r="AP12" s="394"/>
      <c r="AQ12" s="394"/>
      <c r="AR12" s="394"/>
      <c r="AS12" s="394"/>
      <c r="AT12" s="394"/>
      <c r="AU12" s="394"/>
      <c r="AV12" s="394"/>
      <c r="AW12" s="394"/>
      <c r="AX12" s="394"/>
      <c r="AY12" s="394"/>
      <c r="AZ12" s="394"/>
      <c r="BA12" s="394"/>
      <c r="BB12" s="394"/>
      <c r="BC12" s="394"/>
      <c r="BD12" s="394"/>
      <c r="BE12" s="394"/>
      <c r="BF12" s="394"/>
      <c r="BG12" s="394"/>
      <c r="BH12" s="394"/>
      <c r="BI12" s="394"/>
      <c r="BJ12" s="394"/>
      <c r="BK12" s="394"/>
      <c r="BL12" s="394"/>
      <c r="BM12" s="394"/>
      <c r="BN12" s="394"/>
      <c r="BO12" s="394"/>
      <c r="BP12" s="394"/>
      <c r="BQ12" s="394"/>
      <c r="BR12" s="394"/>
      <c r="BS12" s="394"/>
      <c r="BT12" s="394"/>
      <c r="BU12" s="394"/>
      <c r="BV12" s="394"/>
      <c r="BW12" s="394"/>
      <c r="BX12" s="394"/>
      <c r="BY12" s="394"/>
      <c r="BZ12" s="394"/>
      <c r="CA12" s="394"/>
      <c r="CB12" s="394"/>
      <c r="CC12" s="394"/>
      <c r="CD12" s="394"/>
      <c r="CE12" s="394"/>
      <c r="CF12" s="394"/>
      <c r="CG12" s="394"/>
      <c r="CH12" s="394"/>
      <c r="CI12" s="394"/>
      <c r="CJ12" s="394"/>
      <c r="CK12" s="394"/>
      <c r="CL12" s="394"/>
      <c r="CM12" s="394"/>
      <c r="CN12" s="394"/>
      <c r="CO12" s="394"/>
      <c r="CP12" s="394"/>
      <c r="CQ12" s="394"/>
      <c r="CR12" s="394"/>
      <c r="CS12" s="394"/>
      <c r="CT12" s="394"/>
      <c r="CU12" s="394"/>
      <c r="CV12" s="394"/>
      <c r="CW12" s="394"/>
      <c r="CX12" s="394"/>
      <c r="CY12" s="394"/>
      <c r="CZ12" s="394"/>
      <c r="DA12" s="394"/>
      <c r="DB12" s="394"/>
      <c r="DC12" s="394"/>
      <c r="DD12" s="394"/>
      <c r="DE12" s="394"/>
      <c r="DF12" s="394"/>
      <c r="DG12" s="394"/>
      <c r="DH12" s="394"/>
      <c r="DI12" s="394"/>
      <c r="DJ12" s="394"/>
      <c r="DK12" s="394"/>
      <c r="DL12" s="394"/>
      <c r="DM12" s="394"/>
      <c r="DN12" s="394"/>
      <c r="DO12" s="394"/>
      <c r="DP12" s="394"/>
      <c r="DQ12" s="394"/>
      <c r="DR12" s="394"/>
      <c r="DS12" s="394"/>
      <c r="DT12" s="394"/>
      <c r="DU12" s="394"/>
      <c r="DV12" s="394"/>
      <c r="DW12" s="394"/>
      <c r="DX12" s="394"/>
      <c r="DY12" s="394"/>
      <c r="DZ12" s="394"/>
      <c r="EA12" s="394"/>
      <c r="EB12" s="394"/>
      <c r="EC12" s="394"/>
      <c r="ED12" s="394"/>
      <c r="EE12" s="394"/>
      <c r="EF12" s="394"/>
      <c r="EG12" s="394"/>
      <c r="EH12" s="394"/>
      <c r="EI12" s="394"/>
      <c r="EJ12" s="394"/>
      <c r="EK12" s="394"/>
      <c r="EL12" s="394"/>
      <c r="EM12" s="394"/>
      <c r="EN12" s="394"/>
      <c r="EO12" s="394"/>
      <c r="EP12" s="394"/>
      <c r="EQ12" s="394"/>
      <c r="ER12" s="394"/>
      <c r="ES12" s="394"/>
      <c r="ET12" s="394"/>
      <c r="EU12" s="394"/>
      <c r="EV12" s="394"/>
      <c r="EW12" s="394"/>
      <c r="EX12" s="394"/>
      <c r="EY12" s="394"/>
      <c r="EZ12" s="394"/>
      <c r="FA12" s="394"/>
      <c r="FB12" s="394"/>
      <c r="FC12" s="394"/>
      <c r="FD12" s="394"/>
      <c r="FE12" s="394"/>
      <c r="FF12" s="394"/>
      <c r="FG12" s="394"/>
      <c r="FH12" s="394"/>
      <c r="FI12" s="394"/>
      <c r="FJ12" s="394"/>
      <c r="FK12" s="394"/>
      <c r="FL12" s="394"/>
      <c r="FM12" s="394"/>
      <c r="FN12" s="394"/>
      <c r="FO12" s="394"/>
      <c r="FP12" s="394"/>
      <c r="FQ12" s="394"/>
      <c r="FR12" s="394"/>
      <c r="FS12" s="394"/>
      <c r="FT12" s="394"/>
      <c r="FU12" s="394"/>
      <c r="FV12" s="394"/>
      <c r="FW12" s="394"/>
      <c r="FX12" s="394"/>
      <c r="FY12" s="394"/>
      <c r="FZ12" s="394"/>
      <c r="GA12" s="394"/>
      <c r="GB12" s="394"/>
      <c r="GC12" s="394"/>
      <c r="GD12" s="394"/>
      <c r="GE12" s="394"/>
      <c r="GF12" s="394"/>
      <c r="GG12" s="394"/>
      <c r="GH12" s="394"/>
      <c r="GI12" s="394"/>
      <c r="GJ12" s="394"/>
      <c r="GK12" s="394"/>
      <c r="GL12" s="394"/>
      <c r="GM12" s="394"/>
      <c r="GN12" s="394"/>
      <c r="GO12" s="394"/>
      <c r="GP12" s="394"/>
      <c r="GQ12" s="394"/>
      <c r="GR12" s="394"/>
      <c r="GS12" s="394"/>
      <c r="GT12" s="394"/>
      <c r="GU12" s="394"/>
      <c r="GV12" s="394"/>
      <c r="GW12" s="394"/>
      <c r="GX12" s="394"/>
      <c r="GY12" s="394"/>
      <c r="GZ12" s="394"/>
      <c r="HA12" s="394"/>
      <c r="HB12" s="394"/>
      <c r="HC12" s="394"/>
      <c r="HD12" s="394"/>
      <c r="HE12" s="394"/>
      <c r="HF12" s="394"/>
      <c r="HG12" s="394"/>
      <c r="HH12" s="394"/>
    </row>
    <row r="13" spans="1:227" ht="15.75" thickBot="1" x14ac:dyDescent="0.25">
      <c r="A13" s="626"/>
      <c r="B13" s="626"/>
      <c r="C13" s="626"/>
      <c r="D13" s="626"/>
      <c r="E13" s="626"/>
      <c r="F13" s="626"/>
      <c r="G13" s="626"/>
    </row>
    <row r="14" spans="1:227" s="261" customFormat="1" ht="20.100000000000001" customHeight="1" thickBot="1" x14ac:dyDescent="0.25">
      <c r="A14" s="403" t="s">
        <v>4</v>
      </c>
      <c r="B14" s="638" t="s">
        <v>10</v>
      </c>
      <c r="C14" s="639"/>
      <c r="D14" s="404" t="s">
        <v>62</v>
      </c>
      <c r="E14" s="108" t="s">
        <v>1</v>
      </c>
      <c r="F14" s="107" t="s">
        <v>63</v>
      </c>
      <c r="G14" s="79" t="s">
        <v>50</v>
      </c>
      <c r="H14" s="147"/>
      <c r="I14" s="125"/>
      <c r="J14" s="411"/>
      <c r="K14" s="411"/>
      <c r="AM14" s="116"/>
    </row>
    <row r="15" spans="1:227" ht="18" customHeight="1" x14ac:dyDescent="0.2">
      <c r="A15" s="412">
        <v>70110155</v>
      </c>
      <c r="B15" s="627" t="s">
        <v>123</v>
      </c>
      <c r="C15" s="628"/>
      <c r="D15" s="413" t="s">
        <v>47</v>
      </c>
      <c r="E15" s="110"/>
      <c r="F15" s="414" t="s">
        <v>33</v>
      </c>
      <c r="G15" s="66">
        <f>$D$24</f>
        <v>45292</v>
      </c>
      <c r="H15" s="123">
        <f>SUMIF('5.A'!$B$7:$B$323,B15,'5.A'!$L$7:$L$323)</f>
        <v>1006</v>
      </c>
      <c r="I15" s="122" t="str">
        <f>IF(H15=0,"no","si")</f>
        <v>si</v>
      </c>
      <c r="AM15" s="116" t="s">
        <v>98</v>
      </c>
    </row>
    <row r="16" spans="1:227" ht="18" customHeight="1" x14ac:dyDescent="0.2">
      <c r="A16" s="412">
        <v>70110152</v>
      </c>
      <c r="B16" s="627" t="s">
        <v>126</v>
      </c>
      <c r="C16" s="628"/>
      <c r="D16" s="413" t="s">
        <v>47</v>
      </c>
      <c r="E16" s="110"/>
      <c r="F16" s="414" t="s">
        <v>33</v>
      </c>
      <c r="G16" s="66">
        <f t="shared" ref="G16:G19" si="0">$D$24</f>
        <v>45292</v>
      </c>
      <c r="H16" s="123">
        <f>SUMIF('5.A'!$B$7:$B$323,B16,'5.A'!$L$7:$L$323)</f>
        <v>58.1</v>
      </c>
      <c r="I16" s="122" t="str">
        <f t="shared" ref="I16:I19" si="1">IF(H16=0,"no","si")</f>
        <v>si</v>
      </c>
    </row>
    <row r="17" spans="1:11" ht="18" customHeight="1" x14ac:dyDescent="0.2">
      <c r="A17" s="412">
        <v>70110153</v>
      </c>
      <c r="B17" s="627" t="s">
        <v>128</v>
      </c>
      <c r="C17" s="628"/>
      <c r="D17" s="413" t="s">
        <v>47</v>
      </c>
      <c r="E17" s="110"/>
      <c r="F17" s="414" t="s">
        <v>33</v>
      </c>
      <c r="G17" s="66">
        <f t="shared" si="0"/>
        <v>45292</v>
      </c>
      <c r="H17" s="123">
        <f>SUMIF('5.A'!$B$7:$B$323,B17,'5.A'!$L$7:$L$323)</f>
        <v>30</v>
      </c>
      <c r="I17" s="122" t="str">
        <f t="shared" si="1"/>
        <v>si</v>
      </c>
    </row>
    <row r="18" spans="1:11" ht="18" customHeight="1" x14ac:dyDescent="0.2">
      <c r="A18" s="412">
        <v>70110161</v>
      </c>
      <c r="B18" s="627" t="s">
        <v>131</v>
      </c>
      <c r="C18" s="628"/>
      <c r="D18" s="413" t="s">
        <v>47</v>
      </c>
      <c r="E18" s="110"/>
      <c r="F18" s="414" t="s">
        <v>33</v>
      </c>
      <c r="G18" s="66">
        <f t="shared" si="0"/>
        <v>45292</v>
      </c>
      <c r="H18" s="123">
        <f>SUMIF('5.A'!$B$7:$B$323,B18,'5.A'!$L$7:$L$323)</f>
        <v>53</v>
      </c>
      <c r="I18" s="122" t="str">
        <f t="shared" si="1"/>
        <v>si</v>
      </c>
    </row>
    <row r="19" spans="1:11" ht="18" customHeight="1" x14ac:dyDescent="0.2">
      <c r="A19" s="412">
        <v>70110171</v>
      </c>
      <c r="B19" s="627" t="s">
        <v>133</v>
      </c>
      <c r="C19" s="628"/>
      <c r="D19" s="413" t="s">
        <v>134</v>
      </c>
      <c r="E19" s="110"/>
      <c r="F19" s="414" t="s">
        <v>33</v>
      </c>
      <c r="G19" s="66">
        <f t="shared" si="0"/>
        <v>45292</v>
      </c>
      <c r="H19" s="123">
        <f>SUMIF('5.A'!$B$7:$B$323,B19,'5.A'!$L$7:$L$323)</f>
        <v>353.4</v>
      </c>
      <c r="I19" s="122" t="str">
        <f t="shared" si="1"/>
        <v>si</v>
      </c>
    </row>
    <row r="20" spans="1:11" ht="18" customHeight="1" thickBot="1" x14ac:dyDescent="0.25">
      <c r="A20" s="406">
        <v>10775</v>
      </c>
      <c r="B20" s="640" t="s">
        <v>140</v>
      </c>
      <c r="C20" s="641"/>
      <c r="D20" s="415" t="s">
        <v>139</v>
      </c>
      <c r="E20" s="109"/>
      <c r="F20" s="408" t="s">
        <v>32</v>
      </c>
      <c r="G20" s="105">
        <f>$D$23</f>
        <v>45413</v>
      </c>
      <c r="H20" s="123">
        <f>SUMIF('5.A'!$B$7:$B$323,B20,'5.A'!$L$7:$L$323)</f>
        <v>3</v>
      </c>
      <c r="I20" s="122" t="str">
        <f t="shared" ref="I20" si="2">IF(H20=0,"no","si")</f>
        <v>si</v>
      </c>
    </row>
    <row r="21" spans="1:11" ht="18" customHeight="1" x14ac:dyDescent="0.2">
      <c r="A21" s="642"/>
      <c r="B21" s="642"/>
      <c r="C21" s="642"/>
      <c r="D21" s="642"/>
      <c r="E21" s="642"/>
      <c r="F21" s="642"/>
      <c r="G21" s="416"/>
    </row>
    <row r="22" spans="1:11" ht="15.75" hidden="1" x14ac:dyDescent="0.2">
      <c r="A22" s="417" t="s">
        <v>105</v>
      </c>
      <c r="B22" s="417"/>
      <c r="C22" s="418"/>
      <c r="D22" s="419"/>
      <c r="E22" s="71"/>
      <c r="F22" s="72"/>
      <c r="H22" s="123">
        <f>SUM(H12:H21)</f>
        <v>2163.5</v>
      </c>
    </row>
    <row r="23" spans="1:11" ht="15.75" hidden="1" x14ac:dyDescent="0.2">
      <c r="A23" s="629" t="s">
        <v>32</v>
      </c>
      <c r="B23" s="630"/>
      <c r="C23" s="420" t="s">
        <v>149</v>
      </c>
      <c r="D23" s="634">
        <v>45413</v>
      </c>
      <c r="E23" s="634"/>
      <c r="F23" s="72"/>
    </row>
    <row r="24" spans="1:11" ht="15.75" hidden="1" x14ac:dyDescent="0.2">
      <c r="A24" s="629" t="s">
        <v>33</v>
      </c>
      <c r="B24" s="630"/>
      <c r="C24" s="420" t="s">
        <v>145</v>
      </c>
      <c r="D24" s="634">
        <v>45292</v>
      </c>
      <c r="E24" s="634"/>
      <c r="F24" s="421"/>
      <c r="G24" s="116"/>
      <c r="H24" s="116"/>
      <c r="I24" s="116"/>
      <c r="J24" s="116"/>
      <c r="K24" s="116"/>
    </row>
  </sheetData>
  <sheetProtection algorithmName="SHA-512" hashValue="vsoBnut41/5a3a0t7shdeuIMz3+qn1ubWltV59A3XmoKP0FiFqE+xU1r3YMJ+yKGr3RVOLIRXGPjd720za2pVA==" saltValue="taVLi1fI14DOUPIcSZqoxw==" spinCount="100000" sheet="1" objects="1" scenarios="1" selectLockedCells="1"/>
  <mergeCells count="22">
    <mergeCell ref="A24:B24"/>
    <mergeCell ref="D23:E23"/>
    <mergeCell ref="D24:E24"/>
    <mergeCell ref="A9:G9"/>
    <mergeCell ref="A10:G10"/>
    <mergeCell ref="B17:C17"/>
    <mergeCell ref="B18:C18"/>
    <mergeCell ref="B14:C14"/>
    <mergeCell ref="B19:C19"/>
    <mergeCell ref="B20:C20"/>
    <mergeCell ref="A21:F21"/>
    <mergeCell ref="B11:C11"/>
    <mergeCell ref="I4:K4"/>
    <mergeCell ref="A13:G13"/>
    <mergeCell ref="B15:C15"/>
    <mergeCell ref="B16:C16"/>
    <mergeCell ref="A23:B23"/>
    <mergeCell ref="B12:C12"/>
    <mergeCell ref="A1:E4"/>
    <mergeCell ref="A7:G7"/>
    <mergeCell ref="A8:F8"/>
    <mergeCell ref="A6:F6"/>
  </mergeCells>
  <printOptions horizontalCentered="1"/>
  <pageMargins left="0.59055118110236227" right="0.59055118110236227" top="0.70866141732283472" bottom="0.74803149606299213" header="0.43307086614173229" footer="0.51181102362204722"/>
  <pageSetup paperSize="9" scale="57" fitToHeight="5" orientation="portrait" horizontalDpi="4294967293" verticalDpi="4294967293" r:id="rId1"/>
  <headerFooter alignWithMargins="0">
    <oddFooter>&amp;C&amp;"Times New Roman,Negrito itálico"&amp;12Página 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Planilha28"/>
  <dimension ref="A1:J54"/>
  <sheetViews>
    <sheetView view="pageBreakPreview" zoomScale="78" zoomScaleNormal="80" zoomScaleSheetLayoutView="78" workbookViewId="0">
      <selection activeCell="E9" sqref="E9"/>
    </sheetView>
  </sheetViews>
  <sheetFormatPr defaultColWidth="9.140625" defaultRowHeight="12.75" x14ac:dyDescent="0.2"/>
  <cols>
    <col min="1" max="1" width="18.5703125" style="46" customWidth="1"/>
    <col min="2" max="2" width="13.5703125" style="45" customWidth="1"/>
    <col min="3" max="3" width="41.7109375" style="45" customWidth="1"/>
    <col min="4" max="4" width="21.42578125" style="46" customWidth="1"/>
    <col min="5" max="5" width="17.42578125" style="46" customWidth="1"/>
    <col min="6" max="16384" width="9.140625" style="45"/>
  </cols>
  <sheetData>
    <row r="1" spans="1:10" s="40" customFormat="1" ht="36.75" customHeight="1" x14ac:dyDescent="0.2">
      <c r="A1" s="645" t="str">
        <f>'3.A'!A1:J4</f>
        <v>TIMBRE LICITANTE</v>
      </c>
      <c r="B1" s="645"/>
      <c r="C1" s="645"/>
      <c r="D1" s="645"/>
      <c r="E1" s="645"/>
      <c r="F1" s="38"/>
      <c r="G1" s="38"/>
      <c r="H1" s="38"/>
      <c r="I1" s="5"/>
      <c r="J1" s="38"/>
    </row>
    <row r="2" spans="1:10" s="40" customFormat="1" ht="19.5" customHeight="1" x14ac:dyDescent="0.2">
      <c r="A2" s="645"/>
      <c r="B2" s="645"/>
      <c r="C2" s="645"/>
      <c r="D2" s="645"/>
      <c r="E2" s="645"/>
      <c r="F2" s="38"/>
      <c r="G2" s="38"/>
      <c r="H2" s="38"/>
      <c r="I2" s="38"/>
      <c r="J2" s="38"/>
    </row>
    <row r="3" spans="1:10" s="40" customFormat="1" ht="20.25" customHeight="1" x14ac:dyDescent="0.2">
      <c r="A3" s="645" t="s">
        <v>155</v>
      </c>
      <c r="B3" s="645"/>
      <c r="C3" s="645"/>
      <c r="D3" s="645"/>
      <c r="E3" s="645"/>
      <c r="F3" s="39"/>
      <c r="G3" s="39"/>
      <c r="H3" s="39"/>
      <c r="I3" s="39"/>
      <c r="J3" s="39"/>
    </row>
    <row r="4" spans="1:10" s="40" customFormat="1" ht="5.25" customHeight="1" x14ac:dyDescent="0.2">
      <c r="A4" s="41"/>
      <c r="B4" s="42"/>
      <c r="C4" s="42"/>
      <c r="D4" s="42"/>
      <c r="E4" s="42"/>
      <c r="F4" s="39"/>
      <c r="G4" s="39"/>
      <c r="H4" s="39"/>
      <c r="I4" s="39"/>
      <c r="J4" s="39"/>
    </row>
    <row r="5" spans="1:10" s="40" customFormat="1" ht="35.25" customHeight="1" x14ac:dyDescent="0.2">
      <c r="A5" s="669" t="str">
        <f>'3.A'!A9</f>
        <v xml:space="preserve">OBJETO: FORNECIMENTO E INSTALAÇÃO DE GUARDA-CORPOS, ESCADAS MARINHEIROS E GRADES-PISO, EM FIBRA DE VIDRO, NAS ÁREAS DE PROCESSO DA ESTAÇÃO DE TRATAMENTO DE ÁGUA. </v>
      </c>
      <c r="B5" s="669"/>
      <c r="C5" s="669"/>
      <c r="D5" s="669"/>
      <c r="E5" s="669"/>
      <c r="F5" s="39"/>
      <c r="G5" s="39"/>
      <c r="H5" s="39"/>
      <c r="I5" s="39"/>
      <c r="J5" s="39"/>
    </row>
    <row r="6" spans="1:10" ht="9.75" customHeight="1" thickBot="1" x14ac:dyDescent="0.25">
      <c r="A6" s="43"/>
      <c r="B6" s="44"/>
      <c r="C6" s="44"/>
      <c r="D6" s="43"/>
      <c r="E6" s="43"/>
    </row>
    <row r="7" spans="1:10" ht="45.75" customHeight="1" thickBot="1" x14ac:dyDescent="0.25">
      <c r="A7" s="646" t="s">
        <v>13</v>
      </c>
      <c r="B7" s="647"/>
      <c r="C7" s="647"/>
      <c r="D7" s="648"/>
      <c r="E7" s="97" t="s">
        <v>121</v>
      </c>
    </row>
    <row r="8" spans="1:10" ht="12" customHeight="1" thickBot="1" x14ac:dyDescent="0.25">
      <c r="B8" s="47"/>
      <c r="C8" s="47"/>
      <c r="D8" s="47"/>
      <c r="E8" s="47"/>
    </row>
    <row r="9" spans="1:10" s="48" customFormat="1" ht="27.95" customHeight="1" thickBot="1" x14ac:dyDescent="0.25">
      <c r="A9" s="57" t="s">
        <v>38</v>
      </c>
      <c r="B9" s="660" t="s">
        <v>14</v>
      </c>
      <c r="C9" s="661"/>
      <c r="D9" s="655"/>
      <c r="E9" s="423"/>
    </row>
    <row r="10" spans="1:10" ht="12" customHeight="1" thickBot="1" x14ac:dyDescent="0.3">
      <c r="A10" s="652"/>
      <c r="B10" s="652"/>
      <c r="C10" s="652"/>
      <c r="D10" s="652"/>
      <c r="E10" s="652"/>
    </row>
    <row r="11" spans="1:10" s="48" customFormat="1" ht="27.95" customHeight="1" thickBot="1" x14ac:dyDescent="0.25">
      <c r="A11" s="57" t="s">
        <v>39</v>
      </c>
      <c r="B11" s="660" t="s">
        <v>40</v>
      </c>
      <c r="C11" s="661"/>
      <c r="D11" s="655"/>
      <c r="E11" s="423"/>
    </row>
    <row r="12" spans="1:10" ht="12" customHeight="1" thickBot="1" x14ac:dyDescent="0.3">
      <c r="A12" s="652"/>
      <c r="B12" s="652"/>
      <c r="C12" s="652"/>
      <c r="D12" s="652"/>
      <c r="E12" s="652"/>
    </row>
    <row r="13" spans="1:10" s="48" customFormat="1" ht="27.95" customHeight="1" thickBot="1" x14ac:dyDescent="0.25">
      <c r="A13" s="57" t="s">
        <v>41</v>
      </c>
      <c r="B13" s="660" t="s">
        <v>42</v>
      </c>
      <c r="C13" s="661"/>
      <c r="D13" s="655"/>
      <c r="E13" s="423"/>
    </row>
    <row r="14" spans="1:10" ht="12" customHeight="1" thickBot="1" x14ac:dyDescent="0.3">
      <c r="A14" s="652"/>
      <c r="B14" s="652"/>
      <c r="C14" s="652"/>
      <c r="D14" s="652"/>
      <c r="E14" s="652"/>
    </row>
    <row r="15" spans="1:10" s="48" customFormat="1" ht="27.95" customHeight="1" thickBot="1" x14ac:dyDescent="0.25">
      <c r="A15" s="57" t="s">
        <v>11</v>
      </c>
      <c r="B15" s="660" t="s">
        <v>43</v>
      </c>
      <c r="C15" s="661"/>
      <c r="D15" s="655"/>
      <c r="E15" s="423"/>
    </row>
    <row r="16" spans="1:10" ht="12" customHeight="1" thickBot="1" x14ac:dyDescent="0.3">
      <c r="A16" s="652"/>
      <c r="B16" s="652"/>
      <c r="C16" s="652"/>
      <c r="D16" s="652"/>
      <c r="E16" s="652"/>
    </row>
    <row r="17" spans="1:8" s="48" customFormat="1" ht="27.95" customHeight="1" thickBot="1" x14ac:dyDescent="0.25">
      <c r="A17" s="57" t="s">
        <v>44</v>
      </c>
      <c r="B17" s="660" t="s">
        <v>35</v>
      </c>
      <c r="C17" s="661"/>
      <c r="D17" s="655"/>
      <c r="E17" s="423"/>
    </row>
    <row r="18" spans="1:8" ht="12" customHeight="1" thickBot="1" x14ac:dyDescent="0.3">
      <c r="A18" s="652"/>
      <c r="B18" s="652"/>
      <c r="C18" s="652"/>
      <c r="D18" s="652"/>
      <c r="E18" s="652"/>
    </row>
    <row r="19" spans="1:8" s="48" customFormat="1" ht="27.95" customHeight="1" thickBot="1" x14ac:dyDescent="0.25">
      <c r="A19" s="57" t="s">
        <v>45</v>
      </c>
      <c r="B19" s="660" t="s">
        <v>34</v>
      </c>
      <c r="C19" s="661"/>
      <c r="D19" s="655"/>
      <c r="E19" s="58"/>
    </row>
    <row r="20" spans="1:8" s="48" customFormat="1" ht="12" customHeight="1" thickBot="1" x14ac:dyDescent="0.3">
      <c r="A20" s="652"/>
      <c r="B20" s="652"/>
      <c r="C20" s="652"/>
      <c r="D20" s="652"/>
      <c r="E20" s="652"/>
    </row>
    <row r="21" spans="1:8" s="48" customFormat="1" ht="27.95" customHeight="1" thickBot="1" x14ac:dyDescent="0.25">
      <c r="A21" s="59" t="s">
        <v>109</v>
      </c>
      <c r="B21" s="653" t="s">
        <v>110</v>
      </c>
      <c r="C21" s="654"/>
      <c r="D21" s="655"/>
      <c r="E21" s="60">
        <f>ROUND(SUM(E22:E23),5)</f>
        <v>0</v>
      </c>
    </row>
    <row r="22" spans="1:8" s="48" customFormat="1" ht="20.100000000000001" customHeight="1" x14ac:dyDescent="0.2">
      <c r="A22" s="61"/>
      <c r="B22" s="663" t="s">
        <v>64</v>
      </c>
      <c r="C22" s="664"/>
      <c r="D22" s="665"/>
      <c r="E22" s="62"/>
    </row>
    <row r="23" spans="1:8" s="48" customFormat="1" ht="20.100000000000001" customHeight="1" thickBot="1" x14ac:dyDescent="0.25">
      <c r="A23" s="63"/>
      <c r="B23" s="666" t="s">
        <v>65</v>
      </c>
      <c r="C23" s="667"/>
      <c r="D23" s="668"/>
      <c r="E23" s="64"/>
    </row>
    <row r="24" spans="1:8" s="48" customFormat="1" ht="12" customHeight="1" thickBot="1" x14ac:dyDescent="0.3">
      <c r="A24" s="652"/>
      <c r="B24" s="652"/>
      <c r="C24" s="652"/>
      <c r="D24" s="652"/>
      <c r="E24" s="652"/>
    </row>
    <row r="25" spans="1:8" s="48" customFormat="1" ht="27.95" customHeight="1" thickBot="1" x14ac:dyDescent="0.25">
      <c r="A25" s="59" t="s">
        <v>111</v>
      </c>
      <c r="B25" s="653" t="s">
        <v>112</v>
      </c>
      <c r="C25" s="654"/>
      <c r="D25" s="655"/>
      <c r="E25" s="60">
        <f>ROUND(SUM(E26:E26),5)</f>
        <v>0</v>
      </c>
    </row>
    <row r="26" spans="1:8" s="48" customFormat="1" ht="20.100000000000001" customHeight="1" thickBot="1" x14ac:dyDescent="0.25">
      <c r="A26" s="65"/>
      <c r="B26" s="656" t="s">
        <v>113</v>
      </c>
      <c r="C26" s="657"/>
      <c r="D26" s="658"/>
      <c r="E26" s="64"/>
    </row>
    <row r="27" spans="1:8" s="48" customFormat="1" ht="12" customHeight="1" thickBot="1" x14ac:dyDescent="0.3">
      <c r="A27" s="652"/>
      <c r="B27" s="652"/>
      <c r="C27" s="652"/>
      <c r="D27" s="652"/>
      <c r="E27" s="652"/>
    </row>
    <row r="28" spans="1:8" s="48" customFormat="1" ht="27.95" customHeight="1" thickBot="1" x14ac:dyDescent="0.25">
      <c r="A28" s="59" t="s">
        <v>114</v>
      </c>
      <c r="B28" s="653" t="s">
        <v>115</v>
      </c>
      <c r="C28" s="654"/>
      <c r="D28" s="659"/>
      <c r="E28" s="60">
        <f>ROUND(SUM(E29:E29),5)</f>
        <v>0</v>
      </c>
    </row>
    <row r="29" spans="1:8" s="48" customFormat="1" ht="20.100000000000001" customHeight="1" thickBot="1" x14ac:dyDescent="0.25">
      <c r="A29" s="65"/>
      <c r="B29" s="656" t="s">
        <v>116</v>
      </c>
      <c r="C29" s="657"/>
      <c r="D29" s="658"/>
      <c r="E29" s="64"/>
    </row>
    <row r="30" spans="1:8" ht="12" customHeight="1" thickBot="1" x14ac:dyDescent="0.3">
      <c r="A30" s="652"/>
      <c r="B30" s="652"/>
      <c r="C30" s="652"/>
      <c r="D30" s="652"/>
      <c r="E30" s="652"/>
    </row>
    <row r="31" spans="1:8" s="48" customFormat="1" ht="27.95" customHeight="1" thickBot="1" x14ac:dyDescent="0.25">
      <c r="A31" s="57"/>
      <c r="B31" s="660" t="s">
        <v>46</v>
      </c>
      <c r="C31" s="661"/>
      <c r="D31" s="662"/>
      <c r="E31" s="49">
        <f>ROUND((((1+($E$9+$E$11+$E$13+$E$15))*(1+$E$17)*(1+$E$19))/(1-$E$21-$E$25-$E$28))-1,4)</f>
        <v>0</v>
      </c>
      <c r="F31" s="50"/>
      <c r="G31" s="6"/>
      <c r="H31" s="6"/>
    </row>
    <row r="32" spans="1:8" x14ac:dyDescent="0.2">
      <c r="A32" s="51"/>
      <c r="B32" s="52"/>
      <c r="C32" s="52"/>
      <c r="D32" s="51"/>
      <c r="E32" s="51"/>
    </row>
    <row r="33" spans="1:10" x14ac:dyDescent="0.2">
      <c r="A33" s="53"/>
      <c r="B33" s="54"/>
      <c r="C33" s="54"/>
      <c r="D33" s="55"/>
      <c r="E33" s="55"/>
    </row>
    <row r="34" spans="1:10" x14ac:dyDescent="0.2">
      <c r="A34" s="56"/>
      <c r="B34" s="54"/>
      <c r="C34" s="54"/>
      <c r="D34" s="55"/>
      <c r="E34" s="55"/>
    </row>
    <row r="35" spans="1:10" x14ac:dyDescent="0.2">
      <c r="A35" s="55"/>
      <c r="B35" s="54"/>
      <c r="C35" s="54"/>
      <c r="D35" s="55"/>
      <c r="E35" s="55"/>
    </row>
    <row r="36" spans="1:10" ht="15" customHeight="1" x14ac:dyDescent="0.2">
      <c r="A36" s="650" t="s">
        <v>118</v>
      </c>
      <c r="B36" s="650"/>
      <c r="C36" s="650"/>
      <c r="D36" s="650"/>
      <c r="E36" s="650"/>
    </row>
    <row r="37" spans="1:10" ht="15" customHeight="1" x14ac:dyDescent="0.2">
      <c r="A37" s="650"/>
      <c r="B37" s="650"/>
      <c r="C37" s="650"/>
      <c r="D37" s="650"/>
      <c r="E37" s="650"/>
    </row>
    <row r="38" spans="1:10" ht="12.75" customHeight="1" x14ac:dyDescent="0.2">
      <c r="A38" s="651" t="s">
        <v>120</v>
      </c>
      <c r="B38" s="651"/>
      <c r="C38" s="651"/>
      <c r="D38" s="651"/>
      <c r="E38" s="651"/>
    </row>
    <row r="39" spans="1:10" ht="12.75" customHeight="1" x14ac:dyDescent="0.2">
      <c r="A39" s="651"/>
      <c r="B39" s="651"/>
      <c r="C39" s="651"/>
      <c r="D39" s="651"/>
      <c r="E39" s="651"/>
    </row>
    <row r="40" spans="1:10" s="46" customFormat="1" ht="12.75" customHeight="1" x14ac:dyDescent="0.2">
      <c r="A40" s="651"/>
      <c r="B40" s="651"/>
      <c r="C40" s="651"/>
      <c r="D40" s="651"/>
      <c r="E40" s="651"/>
      <c r="F40" s="45"/>
      <c r="G40" s="45"/>
      <c r="H40" s="45"/>
      <c r="I40" s="45"/>
      <c r="J40" s="45"/>
    </row>
    <row r="41" spans="1:10" s="46" customFormat="1" ht="12.75" customHeight="1" x14ac:dyDescent="0.2">
      <c r="A41" s="651"/>
      <c r="B41" s="651"/>
      <c r="C41" s="651"/>
      <c r="D41" s="651"/>
      <c r="E41" s="651"/>
      <c r="F41" s="45"/>
      <c r="G41" s="45"/>
      <c r="H41" s="45"/>
      <c r="I41" s="45"/>
      <c r="J41" s="45"/>
    </row>
    <row r="42" spans="1:10" ht="12.75" customHeight="1" x14ac:dyDescent="0.2">
      <c r="A42" s="651"/>
      <c r="B42" s="651"/>
      <c r="C42" s="651"/>
      <c r="D42" s="651"/>
      <c r="E42" s="651"/>
    </row>
    <row r="43" spans="1:10" ht="12.75" customHeight="1" x14ac:dyDescent="0.2">
      <c r="A43" s="651"/>
      <c r="B43" s="651"/>
      <c r="C43" s="651"/>
      <c r="D43" s="651"/>
      <c r="E43" s="651"/>
    </row>
    <row r="44" spans="1:10" x14ac:dyDescent="0.2">
      <c r="D44" s="45"/>
    </row>
    <row r="46" spans="1:10" x14ac:dyDescent="0.2">
      <c r="A46" s="649"/>
      <c r="B46" s="649"/>
      <c r="C46" s="649"/>
    </row>
    <row r="47" spans="1:10" x14ac:dyDescent="0.2">
      <c r="A47" s="649"/>
      <c r="B47" s="649"/>
      <c r="C47" s="649"/>
    </row>
    <row r="48" spans="1:10" x14ac:dyDescent="0.2">
      <c r="A48" s="67"/>
      <c r="B48" s="67"/>
      <c r="C48" s="67"/>
    </row>
    <row r="49" spans="1:3" x14ac:dyDescent="0.2">
      <c r="A49" s="649"/>
      <c r="B49" s="649"/>
      <c r="C49" s="649"/>
    </row>
    <row r="50" spans="1:3" x14ac:dyDescent="0.2">
      <c r="A50" s="649"/>
      <c r="B50" s="649"/>
      <c r="C50" s="649"/>
    </row>
    <row r="51" spans="1:3" x14ac:dyDescent="0.2">
      <c r="A51" s="649"/>
      <c r="B51" s="649"/>
      <c r="C51" s="649"/>
    </row>
    <row r="52" spans="1:3" x14ac:dyDescent="0.2">
      <c r="A52" s="649"/>
      <c r="B52" s="649"/>
      <c r="C52" s="649"/>
    </row>
    <row r="53" spans="1:3" x14ac:dyDescent="0.2">
      <c r="A53" s="649"/>
      <c r="B53" s="649"/>
      <c r="C53" s="649"/>
    </row>
    <row r="54" spans="1:3" x14ac:dyDescent="0.2">
      <c r="A54" s="649"/>
      <c r="B54" s="649"/>
      <c r="C54" s="649"/>
    </row>
  </sheetData>
  <sheetProtection algorithmName="SHA-512" hashValue="iGE2ySH0yVYL4L4dhBSNS9vWfWUlt+5UZvQJjJzs+djQ8QIZT9CTM4mkkmD4JMVuwiqBa5+GCfdJOZzn0rZw8w==" saltValue="PjDzXT9n/KWmKKyeaCm/8g==" spinCount="100000" sheet="1" objects="1" scenarios="1" selectLockedCells="1"/>
  <mergeCells count="31">
    <mergeCell ref="A3:E3"/>
    <mergeCell ref="A5:E5"/>
    <mergeCell ref="A16:E16"/>
    <mergeCell ref="B23:D23"/>
    <mergeCell ref="A10:E10"/>
    <mergeCell ref="B11:D11"/>
    <mergeCell ref="A12:E12"/>
    <mergeCell ref="B13:D13"/>
    <mergeCell ref="A14:E14"/>
    <mergeCell ref="B15:D15"/>
    <mergeCell ref="B21:D21"/>
    <mergeCell ref="B17:D17"/>
    <mergeCell ref="A18:E18"/>
    <mergeCell ref="B19:D19"/>
    <mergeCell ref="A20:E20"/>
    <mergeCell ref="A1:E2"/>
    <mergeCell ref="A7:D7"/>
    <mergeCell ref="A46:C47"/>
    <mergeCell ref="A49:C54"/>
    <mergeCell ref="A36:E37"/>
    <mergeCell ref="A38:E43"/>
    <mergeCell ref="A24:E24"/>
    <mergeCell ref="B25:D25"/>
    <mergeCell ref="B26:D26"/>
    <mergeCell ref="A27:E27"/>
    <mergeCell ref="B28:D28"/>
    <mergeCell ref="B29:D29"/>
    <mergeCell ref="A30:E30"/>
    <mergeCell ref="B31:D31"/>
    <mergeCell ref="B22:D22"/>
    <mergeCell ref="B9:D9"/>
  </mergeCells>
  <printOptions horizontalCentered="1"/>
  <pageMargins left="0.51181102362204722" right="0.51181102362204722" top="0.55118110236220474" bottom="0.55118110236220474" header="0.31496062992125984" footer="0.31496062992125984"/>
  <pageSetup paperSize="9" scale="80" orientation="portrait" horizontalDpi="4294967293" verticalDpi="4294967293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Plan6"/>
  <dimension ref="A1:U70"/>
  <sheetViews>
    <sheetView view="pageBreakPreview" zoomScale="80" zoomScaleNormal="70" zoomScaleSheetLayoutView="80" workbookViewId="0">
      <selection activeCell="C19" sqref="C19"/>
    </sheetView>
  </sheetViews>
  <sheetFormatPr defaultRowHeight="12.75" x14ac:dyDescent="0.2"/>
  <cols>
    <col min="1" max="1" width="9.5703125" style="7" customWidth="1"/>
    <col min="2" max="2" width="86.7109375" style="7" customWidth="1"/>
    <col min="3" max="3" width="16.7109375" style="7" customWidth="1"/>
    <col min="4" max="16384" width="9.140625" style="7"/>
  </cols>
  <sheetData>
    <row r="1" spans="1:3" x14ac:dyDescent="0.2">
      <c r="A1" s="687" t="str">
        <f>'3.A'!A1:J4</f>
        <v>TIMBRE LICITANTE</v>
      </c>
      <c r="B1" s="687"/>
      <c r="C1" s="687"/>
    </row>
    <row r="2" spans="1:3" x14ac:dyDescent="0.2">
      <c r="A2" s="687"/>
      <c r="B2" s="687"/>
      <c r="C2" s="687"/>
    </row>
    <row r="3" spans="1:3" x14ac:dyDescent="0.2">
      <c r="A3" s="687"/>
      <c r="B3" s="687"/>
      <c r="C3" s="687"/>
    </row>
    <row r="4" spans="1:3" x14ac:dyDescent="0.2">
      <c r="A4" s="687"/>
      <c r="B4" s="687"/>
      <c r="C4" s="687"/>
    </row>
    <row r="5" spans="1:3" x14ac:dyDescent="0.2">
      <c r="A5" s="687"/>
      <c r="B5" s="687"/>
      <c r="C5" s="687"/>
    </row>
    <row r="6" spans="1:3" x14ac:dyDescent="0.2">
      <c r="A6" s="687"/>
      <c r="B6" s="687"/>
      <c r="C6" s="687"/>
    </row>
    <row r="7" spans="1:3" ht="12.75" customHeight="1" x14ac:dyDescent="0.2">
      <c r="A7" s="687"/>
      <c r="B7" s="687"/>
      <c r="C7" s="687"/>
    </row>
    <row r="8" spans="1:3" ht="12.75" customHeight="1" x14ac:dyDescent="0.2">
      <c r="A8" s="687"/>
      <c r="B8" s="687"/>
      <c r="C8" s="687"/>
    </row>
    <row r="9" spans="1:3" ht="6" customHeight="1" x14ac:dyDescent="0.2">
      <c r="A9" s="687"/>
      <c r="B9" s="687"/>
      <c r="C9" s="687"/>
    </row>
    <row r="10" spans="1:3" x14ac:dyDescent="0.2">
      <c r="A10" s="687"/>
      <c r="B10" s="687"/>
      <c r="C10" s="687"/>
    </row>
    <row r="11" spans="1:3" ht="6" customHeight="1" x14ac:dyDescent="0.2"/>
    <row r="12" spans="1:3" ht="6" customHeight="1" x14ac:dyDescent="0.2">
      <c r="B12" s="8"/>
    </row>
    <row r="13" spans="1:3" x14ac:dyDescent="0.2">
      <c r="A13" s="677" t="s">
        <v>154</v>
      </c>
      <c r="B13" s="677"/>
      <c r="C13" s="677"/>
    </row>
    <row r="14" spans="1:3" ht="6" customHeight="1" thickBot="1" x14ac:dyDescent="0.25">
      <c r="B14" s="8"/>
    </row>
    <row r="15" spans="1:3" ht="45.75" customHeight="1" thickBot="1" x14ac:dyDescent="0.25">
      <c r="A15" s="678" t="str">
        <f>'3.A'!$A$9</f>
        <v xml:space="preserve">OBJETO: FORNECIMENTO E INSTALAÇÃO DE GUARDA-CORPOS, ESCADAS MARINHEIROS E GRADES-PISO, EM FIBRA DE VIDRO, NAS ÁREAS DE PROCESSO DA ESTAÇÃO DE TRATAMENTO DE ÁGUA. </v>
      </c>
      <c r="B15" s="679"/>
      <c r="C15" s="680"/>
    </row>
    <row r="16" spans="1:3" ht="14.25" customHeight="1" x14ac:dyDescent="0.2">
      <c r="A16" s="681" t="s">
        <v>48</v>
      </c>
      <c r="B16" s="684" t="s">
        <v>9</v>
      </c>
      <c r="C16" s="675" t="s">
        <v>119</v>
      </c>
    </row>
    <row r="17" spans="1:3" ht="14.25" customHeight="1" x14ac:dyDescent="0.2">
      <c r="A17" s="682"/>
      <c r="B17" s="685"/>
      <c r="C17" s="676"/>
    </row>
    <row r="18" spans="1:3" ht="18.75" customHeight="1" thickBot="1" x14ac:dyDescent="0.25">
      <c r="A18" s="683"/>
      <c r="B18" s="686"/>
      <c r="C18" s="88" t="s">
        <v>97</v>
      </c>
    </row>
    <row r="19" spans="1:3" ht="15.95" customHeight="1" x14ac:dyDescent="0.2">
      <c r="A19" s="670" t="s">
        <v>15</v>
      </c>
      <c r="B19" s="24" t="s">
        <v>66</v>
      </c>
      <c r="C19" s="81"/>
    </row>
    <row r="20" spans="1:3" ht="15.95" customHeight="1" x14ac:dyDescent="0.2">
      <c r="A20" s="671"/>
      <c r="B20" s="9" t="s">
        <v>67</v>
      </c>
      <c r="C20" s="81"/>
    </row>
    <row r="21" spans="1:3" ht="15.95" customHeight="1" x14ac:dyDescent="0.2">
      <c r="A21" s="671"/>
      <c r="B21" s="9" t="s">
        <v>68</v>
      </c>
      <c r="C21" s="81"/>
    </row>
    <row r="22" spans="1:3" ht="15.95" customHeight="1" x14ac:dyDescent="0.2">
      <c r="A22" s="671"/>
      <c r="B22" s="9" t="s">
        <v>69</v>
      </c>
      <c r="C22" s="81"/>
    </row>
    <row r="23" spans="1:3" ht="15.95" customHeight="1" x14ac:dyDescent="0.2">
      <c r="A23" s="671"/>
      <c r="B23" s="9" t="s">
        <v>70</v>
      </c>
      <c r="C23" s="81"/>
    </row>
    <row r="24" spans="1:3" ht="15.95" customHeight="1" x14ac:dyDescent="0.2">
      <c r="A24" s="671"/>
      <c r="B24" s="9" t="s">
        <v>71</v>
      </c>
      <c r="C24" s="81"/>
    </row>
    <row r="25" spans="1:3" ht="15.95" customHeight="1" x14ac:dyDescent="0.2">
      <c r="A25" s="671"/>
      <c r="B25" s="9" t="s">
        <v>72</v>
      </c>
      <c r="C25" s="81"/>
    </row>
    <row r="26" spans="1:3" ht="15.95" customHeight="1" x14ac:dyDescent="0.2">
      <c r="A26" s="671"/>
      <c r="B26" s="9" t="s">
        <v>73</v>
      </c>
      <c r="C26" s="81"/>
    </row>
    <row r="27" spans="1:3" ht="15.95" customHeight="1" x14ac:dyDescent="0.2">
      <c r="A27" s="671"/>
      <c r="B27" s="9" t="s">
        <v>74</v>
      </c>
      <c r="C27" s="81"/>
    </row>
    <row r="28" spans="1:3" ht="15.95" customHeight="1" thickBot="1" x14ac:dyDescent="0.25">
      <c r="A28" s="672"/>
      <c r="B28" s="10" t="s">
        <v>75</v>
      </c>
      <c r="C28" s="82">
        <f>ROUND(SUM(C19:C27),4)</f>
        <v>0</v>
      </c>
    </row>
    <row r="29" spans="1:3" ht="15.95" customHeight="1" x14ac:dyDescent="0.2">
      <c r="A29" s="670" t="s">
        <v>16</v>
      </c>
      <c r="B29" s="11" t="s">
        <v>76</v>
      </c>
      <c r="C29" s="83"/>
    </row>
    <row r="30" spans="1:3" ht="15.95" customHeight="1" x14ac:dyDescent="0.2">
      <c r="A30" s="671"/>
      <c r="B30" s="12" t="s">
        <v>77</v>
      </c>
      <c r="C30" s="81"/>
    </row>
    <row r="31" spans="1:3" ht="15.95" customHeight="1" x14ac:dyDescent="0.2">
      <c r="A31" s="671"/>
      <c r="B31" s="12" t="s">
        <v>78</v>
      </c>
      <c r="C31" s="81"/>
    </row>
    <row r="32" spans="1:3" ht="15.95" customHeight="1" x14ac:dyDescent="0.2">
      <c r="A32" s="671"/>
      <c r="B32" s="12" t="s">
        <v>79</v>
      </c>
      <c r="C32" s="81"/>
    </row>
    <row r="33" spans="1:3" ht="15.95" customHeight="1" x14ac:dyDescent="0.2">
      <c r="A33" s="671"/>
      <c r="B33" s="12" t="s">
        <v>80</v>
      </c>
      <c r="C33" s="81"/>
    </row>
    <row r="34" spans="1:3" ht="15.95" customHeight="1" x14ac:dyDescent="0.2">
      <c r="A34" s="671"/>
      <c r="B34" s="12" t="s">
        <v>81</v>
      </c>
      <c r="C34" s="81"/>
    </row>
    <row r="35" spans="1:3" ht="15.95" customHeight="1" x14ac:dyDescent="0.2">
      <c r="A35" s="671"/>
      <c r="B35" s="12" t="s">
        <v>82</v>
      </c>
      <c r="C35" s="81"/>
    </row>
    <row r="36" spans="1:3" ht="15.95" customHeight="1" x14ac:dyDescent="0.2">
      <c r="A36" s="671"/>
      <c r="B36" s="12" t="s">
        <v>83</v>
      </c>
      <c r="C36" s="81"/>
    </row>
    <row r="37" spans="1:3" ht="15.95" customHeight="1" x14ac:dyDescent="0.2">
      <c r="A37" s="671"/>
      <c r="B37" s="12" t="s">
        <v>84</v>
      </c>
      <c r="C37" s="81"/>
    </row>
    <row r="38" spans="1:3" ht="15.95" customHeight="1" x14ac:dyDescent="0.2">
      <c r="A38" s="671"/>
      <c r="B38" s="12" t="s">
        <v>85</v>
      </c>
      <c r="C38" s="81"/>
    </row>
    <row r="39" spans="1:3" ht="15.95" customHeight="1" thickBot="1" x14ac:dyDescent="0.25">
      <c r="A39" s="672"/>
      <c r="B39" s="13" t="s">
        <v>86</v>
      </c>
      <c r="C39" s="84">
        <f>SUM(C29:C38)</f>
        <v>0</v>
      </c>
    </row>
    <row r="40" spans="1:3" ht="15.95" customHeight="1" x14ac:dyDescent="0.2">
      <c r="A40" s="670" t="s">
        <v>17</v>
      </c>
      <c r="B40" s="11" t="s">
        <v>87</v>
      </c>
      <c r="C40" s="83"/>
    </row>
    <row r="41" spans="1:3" ht="15.95" customHeight="1" x14ac:dyDescent="0.2">
      <c r="A41" s="671"/>
      <c r="B41" s="12" t="s">
        <v>88</v>
      </c>
      <c r="C41" s="81"/>
    </row>
    <row r="42" spans="1:3" ht="15.95" customHeight="1" x14ac:dyDescent="0.2">
      <c r="A42" s="671"/>
      <c r="B42" s="12" t="s">
        <v>89</v>
      </c>
      <c r="C42" s="81"/>
    </row>
    <row r="43" spans="1:3" ht="15.95" customHeight="1" x14ac:dyDescent="0.2">
      <c r="A43" s="671"/>
      <c r="B43" s="12" t="s">
        <v>90</v>
      </c>
      <c r="C43" s="81"/>
    </row>
    <row r="44" spans="1:3" ht="15.95" customHeight="1" x14ac:dyDescent="0.2">
      <c r="A44" s="671"/>
      <c r="B44" s="12" t="s">
        <v>91</v>
      </c>
      <c r="C44" s="81"/>
    </row>
    <row r="45" spans="1:3" ht="15.95" customHeight="1" thickBot="1" x14ac:dyDescent="0.25">
      <c r="A45" s="672"/>
      <c r="B45" s="13" t="s">
        <v>92</v>
      </c>
      <c r="C45" s="82">
        <f>SUM(C40:C44)</f>
        <v>0</v>
      </c>
    </row>
    <row r="46" spans="1:3" ht="15.95" customHeight="1" x14ac:dyDescent="0.2">
      <c r="A46" s="670" t="s">
        <v>18</v>
      </c>
      <c r="B46" s="12" t="s">
        <v>93</v>
      </c>
      <c r="C46" s="85">
        <f>ROUND(C28*C39,4)</f>
        <v>0</v>
      </c>
    </row>
    <row r="47" spans="1:3" ht="32.1" customHeight="1" x14ac:dyDescent="0.2">
      <c r="A47" s="671"/>
      <c r="B47" s="14" t="s">
        <v>94</v>
      </c>
      <c r="C47" s="86">
        <f>ROUND(C28*C41+C26*C40,4)</f>
        <v>0</v>
      </c>
    </row>
    <row r="48" spans="1:3" ht="15.95" customHeight="1" thickBot="1" x14ac:dyDescent="0.25">
      <c r="A48" s="672"/>
      <c r="B48" s="13" t="s">
        <v>95</v>
      </c>
      <c r="C48" s="82">
        <f>SUM(C46:C47)</f>
        <v>0</v>
      </c>
    </row>
    <row r="49" spans="1:21" ht="15.95" customHeight="1" thickBot="1" x14ac:dyDescent="0.25">
      <c r="A49" s="673" t="s">
        <v>96</v>
      </c>
      <c r="B49" s="674"/>
      <c r="C49" s="87">
        <f>ROUND(C28+C39+C45+C48,5)</f>
        <v>0</v>
      </c>
    </row>
    <row r="50" spans="1:21" ht="15.95" customHeight="1" x14ac:dyDescent="0.2"/>
    <row r="51" spans="1:21" ht="15.95" customHeight="1" x14ac:dyDescent="0.2">
      <c r="B51" s="15"/>
    </row>
    <row r="52" spans="1:21" ht="15.95" customHeight="1" x14ac:dyDescent="0.2">
      <c r="I52" s="16"/>
    </row>
    <row r="53" spans="1:21" ht="15.95" customHeight="1" x14ac:dyDescent="0.2"/>
    <row r="54" spans="1:21" ht="15.95" customHeight="1" x14ac:dyDescent="0.2">
      <c r="B54" s="17"/>
      <c r="N54" s="16"/>
      <c r="O54" s="16"/>
    </row>
    <row r="55" spans="1:21" ht="15.95" customHeight="1" x14ac:dyDescent="0.2"/>
    <row r="56" spans="1:21" ht="15.95" customHeight="1" x14ac:dyDescent="0.2"/>
    <row r="57" spans="1:21" ht="15.95" customHeight="1" x14ac:dyDescent="0.2">
      <c r="N57" s="18"/>
    </row>
    <row r="58" spans="1:21" x14ac:dyDescent="0.2">
      <c r="H58" s="18"/>
      <c r="I58" s="18"/>
      <c r="N58" s="18"/>
      <c r="R58" s="19"/>
      <c r="T58" s="18"/>
      <c r="U58" s="20"/>
    </row>
    <row r="59" spans="1:21" x14ac:dyDescent="0.2">
      <c r="R59" s="19"/>
      <c r="T59" s="18"/>
      <c r="U59" s="20"/>
    </row>
    <row r="60" spans="1:21" x14ac:dyDescent="0.2">
      <c r="H60" s="18"/>
    </row>
    <row r="65" spans="3:16" x14ac:dyDescent="0.2">
      <c r="P65" s="21"/>
    </row>
    <row r="66" spans="3:16" x14ac:dyDescent="0.2">
      <c r="P66" s="22"/>
    </row>
    <row r="70" spans="3:16" x14ac:dyDescent="0.2">
      <c r="C70" s="78"/>
    </row>
  </sheetData>
  <sheetProtection algorithmName="SHA-512" hashValue="TLex8ltHIFScjnQrRox0IkeH/L+kxIj29SO/uLy9xD4QaPHSRNTCEMsNpzUneVRs57CnjC0yFH+Gvxfey3tVfQ==" saltValue="yVqW9mz3zunCMF4wlfljfw==" spinCount="100000" sheet="1" objects="1" scenarios="1" selectLockedCells="1"/>
  <mergeCells count="11">
    <mergeCell ref="A1:C10"/>
    <mergeCell ref="A13:C13"/>
    <mergeCell ref="A15:C15"/>
    <mergeCell ref="A16:A18"/>
    <mergeCell ref="B16:B18"/>
    <mergeCell ref="A19:A28"/>
    <mergeCell ref="A40:A45"/>
    <mergeCell ref="A46:A48"/>
    <mergeCell ref="A49:B49"/>
    <mergeCell ref="C16:C17"/>
    <mergeCell ref="A29:A39"/>
  </mergeCells>
  <printOptions horizontalCentered="1"/>
  <pageMargins left="0.51181102362204722" right="0.59055118110236227" top="0.82677165354330717" bottom="0.98425196850393704" header="0.51181102362204722" footer="0.51181102362204722"/>
  <pageSetup paperSize="9" scale="80" orientation="portrait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11</vt:i4>
      </vt:variant>
    </vt:vector>
  </HeadingPairs>
  <TitlesOfParts>
    <vt:vector size="18" baseType="lpstr">
      <vt:lpstr>PREENCHIMENTO</vt:lpstr>
      <vt:lpstr>3.A</vt:lpstr>
      <vt:lpstr>4.A</vt:lpstr>
      <vt:lpstr>5.A</vt:lpstr>
      <vt:lpstr>6.A</vt:lpstr>
      <vt:lpstr>7.A</vt:lpstr>
      <vt:lpstr>8.A</vt:lpstr>
      <vt:lpstr>'3.A'!Area_de_impressao</vt:lpstr>
      <vt:lpstr>'4.A'!Area_de_impressao</vt:lpstr>
      <vt:lpstr>'5.A'!Area_de_impressao</vt:lpstr>
      <vt:lpstr>'6.A'!Area_de_impressao</vt:lpstr>
      <vt:lpstr>'7.A'!Area_de_impressao</vt:lpstr>
      <vt:lpstr>'8.A'!Area_de_impressao</vt:lpstr>
      <vt:lpstr>PREENCHIMENTO!Area_de_impressao</vt:lpstr>
      <vt:lpstr>'3.A'!Titulos_de_impressao</vt:lpstr>
      <vt:lpstr>'4.A'!Titulos_de_impressao</vt:lpstr>
      <vt:lpstr>'5.A'!Titulos_de_impressao</vt:lpstr>
      <vt:lpstr>'6.A'!Titulos_de_impressao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Trecho 3 - Orçamento Interceptor de egotos</dc:title>
  <dc:subject>Composição de Preços Unitários</dc:subject>
  <dc:creator>mariana</dc:creator>
  <cp:keywords>composição</cp:keywords>
  <dc:description>Plan1 - Orçamentos_x000d_
Plan2 - Cronograma                                     _x000d_
Plan3 - Movimento de Terra_x000d_
Plan4 - Escoramento</dc:description>
  <cp:lastModifiedBy>Luciano José dos Santos Junior</cp:lastModifiedBy>
  <cp:revision>00</cp:revision>
  <cp:lastPrinted>2024-07-16T12:42:27Z</cp:lastPrinted>
  <dcterms:created xsi:type="dcterms:W3CDTF">1997-07-10T20:38:40Z</dcterms:created>
  <dcterms:modified xsi:type="dcterms:W3CDTF">2024-07-16T12:59:18Z</dcterms:modified>
</cp:coreProperties>
</file>